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daten\gem-werk_neu\Vertrieb Marketing\Marketing\ewk Homepage\EWK-Netze\Gasnetz\( 5 ) Lastprofil\"/>
    </mc:Choice>
  </mc:AlternateContent>
  <bookViews>
    <workbookView xWindow="0" yWindow="0" windowWidth="28800" windowHeight="12300" tabRatio="789" activeTab="8"/>
  </bookViews>
  <sheets>
    <sheet name="Info" sheetId="14" r:id="rId1"/>
    <sheet name="Netzbetreiber" sheetId="5" r:id="rId2"/>
    <sheet name="SLP-Verfahren" sheetId="15" r:id="rId3"/>
    <sheet name="SLP-Temp-Gebiet#01" sheetId="17" r:id="rId4"/>
    <sheet name="SLP-Profile" sheetId="7" r:id="rId5"/>
    <sheet name="SLP-Feiertage" sheetId="1" r:id="rId6"/>
    <sheet name="BDEW-Standard" sheetId="8" state="hidden" r:id="rId7"/>
    <sheet name="Wochentag F(WT)" sheetId="4" state="hidden" r:id="rId8"/>
    <sheet name="HIST_MONATSDURCHSCHNITT" sheetId="20" r:id="rId9"/>
  </sheet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7">'Wochentag F(WT)'!$A$1:$P$22</definedName>
  </definedNames>
  <calcPr calcId="162913"/>
</workbook>
</file>

<file path=xl/calcChain.xml><?xml version="1.0" encoding="utf-8"?>
<calcChain xmlns="http://schemas.openxmlformats.org/spreadsheetml/2006/main">
  <c r="E66" i="17" l="1"/>
  <c r="F52" i="17" l="1"/>
  <c r="E7" i="17" l="1"/>
  <c r="E6" i="17"/>
  <c r="E4" i="17"/>
  <c r="C33" i="15" l="1"/>
  <c r="C32" i="15"/>
  <c r="C29" i="15"/>
  <c r="C28" i="15"/>
  <c r="D24" i="15" l="1"/>
  <c r="C23" i="15"/>
  <c r="F69" i="17" l="1"/>
  <c r="G69" i="17"/>
  <c r="H69" i="17"/>
  <c r="I69" i="17"/>
  <c r="J69" i="17"/>
  <c r="K69" i="17"/>
  <c r="L69" i="17"/>
  <c r="M69" i="17"/>
  <c r="N69" i="17"/>
  <c r="E69" i="17"/>
  <c r="F11" i="17" l="1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2" i="7" l="1"/>
  <c r="F12" i="7"/>
  <c r="F16" i="7"/>
  <c r="F20" i="7"/>
  <c r="F24" i="7"/>
  <c r="F18" i="7"/>
  <c r="F15" i="7"/>
  <c r="F23" i="7"/>
  <c r="F13" i="7"/>
  <c r="F17" i="7"/>
  <c r="F21" i="7"/>
  <c r="F14" i="7"/>
  <c r="F22" i="7"/>
  <c r="F19" i="7"/>
  <c r="P24" i="7"/>
  <c r="L24" i="7"/>
  <c r="H24" i="7"/>
  <c r="M23" i="7"/>
  <c r="I23" i="7"/>
  <c r="N22" i="7"/>
  <c r="J22" i="7"/>
  <c r="O21" i="7"/>
  <c r="K21" i="7"/>
  <c r="P20" i="7"/>
  <c r="L20" i="7"/>
  <c r="H20" i="7"/>
  <c r="M19" i="7"/>
  <c r="I19" i="7"/>
  <c r="N18" i="7"/>
  <c r="J18" i="7"/>
  <c r="O17" i="7"/>
  <c r="K17" i="7"/>
  <c r="P16" i="7"/>
  <c r="L16" i="7"/>
  <c r="H16" i="7"/>
  <c r="M15" i="7"/>
  <c r="I15" i="7"/>
  <c r="N14" i="7"/>
  <c r="J14" i="7"/>
  <c r="O13" i="7"/>
  <c r="K13" i="7"/>
  <c r="P12" i="7"/>
  <c r="L12" i="7"/>
  <c r="N24" i="7"/>
  <c r="K23" i="7"/>
  <c r="L22" i="7"/>
  <c r="M21" i="7"/>
  <c r="N20" i="7"/>
  <c r="J20" i="7"/>
  <c r="K19" i="7"/>
  <c r="L18" i="7"/>
  <c r="M17" i="7"/>
  <c r="N16" i="7"/>
  <c r="O15" i="7"/>
  <c r="L14" i="7"/>
  <c r="M13" i="7"/>
  <c r="N12" i="7"/>
  <c r="M24" i="7"/>
  <c r="N23" i="7"/>
  <c r="O22" i="7"/>
  <c r="P21" i="7"/>
  <c r="H21" i="7"/>
  <c r="I20" i="7"/>
  <c r="J19" i="7"/>
  <c r="K18" i="7"/>
  <c r="L17" i="7"/>
  <c r="M16" i="7"/>
  <c r="N15" i="7"/>
  <c r="O14" i="7"/>
  <c r="P13" i="7"/>
  <c r="H13" i="7"/>
  <c r="I12" i="7"/>
  <c r="O24" i="7"/>
  <c r="K24" i="7"/>
  <c r="P23" i="7"/>
  <c r="L23" i="7"/>
  <c r="H23" i="7"/>
  <c r="M22" i="7"/>
  <c r="I22" i="7"/>
  <c r="N21" i="7"/>
  <c r="J21" i="7"/>
  <c r="O20" i="7"/>
  <c r="K20" i="7"/>
  <c r="P19" i="7"/>
  <c r="L19" i="7"/>
  <c r="H19" i="7"/>
  <c r="M18" i="7"/>
  <c r="I18" i="7"/>
  <c r="N17" i="7"/>
  <c r="J17" i="7"/>
  <c r="O16" i="7"/>
  <c r="K16" i="7"/>
  <c r="P15" i="7"/>
  <c r="L15" i="7"/>
  <c r="H15" i="7"/>
  <c r="M14" i="7"/>
  <c r="I14" i="7"/>
  <c r="N13" i="7"/>
  <c r="J13" i="7"/>
  <c r="O12" i="7"/>
  <c r="K12" i="7"/>
  <c r="J24" i="7"/>
  <c r="O23" i="7"/>
  <c r="P22" i="7"/>
  <c r="H22" i="7"/>
  <c r="I21" i="7"/>
  <c r="O19" i="7"/>
  <c r="P18" i="7"/>
  <c r="H18" i="7"/>
  <c r="I17" i="7"/>
  <c r="J16" i="7"/>
  <c r="K15" i="7"/>
  <c r="P14" i="7"/>
  <c r="H14" i="7"/>
  <c r="I13" i="7"/>
  <c r="J12" i="7"/>
  <c r="I24" i="7"/>
  <c r="J23" i="7"/>
  <c r="K22" i="7"/>
  <c r="L21" i="7"/>
  <c r="M20" i="7"/>
  <c r="N19" i="7"/>
  <c r="O18" i="7"/>
  <c r="P17" i="7"/>
  <c r="H17" i="7"/>
  <c r="I16" i="7"/>
  <c r="J15" i="7"/>
  <c r="K14" i="7"/>
  <c r="L13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<sst xmlns="http://schemas.openxmlformats.org/spreadsheetml/2006/main" count="1161" uniqueCount="684">
  <si>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</si>
  <si>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</si>
  <si>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</si>
  <si>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</si>
  <si>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</si>
  <si>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</si>
  <si>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</si>
  <si>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</si>
  <si>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</si>
  <si>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</si>
  <si>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</si>
  <si>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</si>
  <si>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</si>
  <si>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</si>
  <si>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</si>
  <si>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</si>
  <si>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</si>
  <si>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</si>
  <si>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</si>
  <si>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</si>
  <si>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</si>
  <si>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</si>
  <si>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</si>
  <si>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</si>
  <si>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</si>
  <si>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</si>
  <si>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</si>
  <si>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</si>
  <si>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</si>
  <si>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</si>
  <si>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</si>
  <si>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</si>
  <si>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</si>
  <si>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</si>
  <si>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</si>
  <si>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</si>
  <si>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</si>
  <si>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</si>
  <si>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</si>
  <si>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</si>
  <si>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</si>
  <si>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</si>
  <si>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</si>
  <si>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</si>
  <si>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</si>
  <si>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</si>
  <si>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</si>
  <si>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</si>
  <si>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</si>
  <si>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</si>
  <si>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</si>
  <si>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</si>
  <si>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</si>
  <si>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</si>
  <si>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</si>
  <si>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</si>
  <si>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</si>
  <si>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</si>
  <si>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</si>
  <si>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</si>
  <si>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</si>
  <si>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</si>
  <si>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</si>
  <si>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</si>
  <si>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</si>
  <si>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</si>
  <si>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</si>
  <si>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</si>
  <si>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</si>
  <si>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</si>
  <si>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</si>
  <si>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</si>
  <si>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</si>
  <si>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</si>
  <si>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</si>
  <si>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</si>
  <si>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</si>
  <si>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</si>
  <si>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</si>
  <si>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</si>
  <si>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</si>
  <si>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</si>
  <si>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</si>
  <si>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</si>
  <si>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</si>
  <si>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</si>
  <si>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</si>
  <si>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</si>
  <si>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</si>
  <si>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</si>
  <si>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</si>
  <si>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</si>
  <si>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</si>
  <si>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</si>
  <si>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</si>
  <si>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</si>
  <si>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</si>
  <si>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</si>
  <si>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</si>
  <si>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</si>
  <si>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</si>
  <si>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</si>
  <si>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</si>
  <si>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</si>
  <si>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</si>
  <si>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</si>
  <si>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</si>
  <si>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</si>
  <si>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</si>
  <si>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</si>
  <si>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</si>
  <si>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</si>
  <si>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</si>
  <si>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</si>
  <si>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</si>
  <si>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</si>
  <si>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</si>
  <si>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</si>
  <si>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</si>
  <si>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</si>
  <si>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</si>
  <si>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</si>
  <si>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</si>
  <si>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</si>
  <si>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</si>
  <si>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</si>
  <si>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</si>
  <si>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</si>
  <si>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</si>
  <si>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</si>
  <si>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</si>
  <si>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</si>
  <si>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</si>
  <si>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</si>
  <si>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</si>
  <si>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</si>
  <si>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</si>
  <si>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</si>
  <si>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</si>
  <si>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</si>
  <si>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</si>
  <si>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</si>
  <si>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</si>
  <si>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</si>
  <si>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</si>
  <si>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</si>
  <si>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</si>
  <si>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</si>
  <si>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</si>
  <si>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</si>
  <si>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</si>
  <si>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</si>
  <si>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</si>
  <si>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</si>
  <si>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</si>
  <si>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</si>
  <si>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</si>
  <si>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</si>
  <si>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</si>
  <si>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</si>
  <si>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</si>
  <si>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</si>
  <si>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</si>
  <si>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</si>
  <si>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</si>
  <si>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</si>
  <si>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</si>
  <si>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</si>
  <si>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</si>
  <si>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</si>
  <si>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</si>
  <si>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</si>
  <si>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</si>
  <si>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</si>
  <si>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</si>
  <si>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</si>
  <si>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</si>
  <si>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</si>
  <si>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</si>
  <si>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</si>
  <si>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</si>
  <si>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</si>
  <si>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</si>
  <si>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</si>
  <si>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</si>
  <si>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</si>
  <si>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</si>
  <si>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</si>
  <si>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</si>
  <si>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</si>
  <si>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</si>
  <si>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</si>
  <si>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</si>
  <si>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</si>
  <si>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</si>
  <si>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</si>
  <si>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</si>
  <si>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</si>
  <si>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</si>
  <si>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</si>
  <si>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</si>
  <si>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</si>
  <si>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</si>
  <si>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</si>
  <si>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</si>
  <si>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</si>
  <si>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</si>
  <si>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</si>
  <si>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</si>
  <si>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</si>
  <si>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</si>
  <si>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</si>
  <si>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</si>
  <si>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</si>
  <si>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</si>
  <si>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</si>
  <si>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</si>
  <si>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</si>
  <si>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</si>
  <si>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</si>
  <si>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</si>
  <si>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</si>
  <si>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</si>
  <si>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</si>
  <si>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</si>
  <si>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</si>
  <si>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</si>
  <si>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</si>
  <si>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</si>
  <si>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</si>
  <si>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</si>
  <si>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</si>
  <si>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</si>
  <si>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</si>
  <si>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</si>
  <si>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</si>
  <si>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</si>
  <si>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</si>
  <si>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</si>
  <si>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</si>
  <si>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</si>
  <si>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</si>
  <si>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</si>
  <si>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</si>
  <si>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</si>
  <si>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</si>
  <si>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</si>
  <si>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</si>
  <si>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</si>
  <si>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</si>
  <si>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</si>
  <si>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</si>
  <si>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</si>
  <si>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</si>
  <si>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</si>
  <si>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</si>
  <si>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</si>
  <si>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</si>
  <si>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</si>
  <si>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</si>
  <si>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</si>
  <si>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</si>
  <si>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</si>
  <si>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</si>
  <si>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</si>
  <si>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</si>
  <si>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</si>
  <si>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</si>
  <si>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</si>
  <si>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</si>
  <si>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</si>
  <si>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</si>
  <si>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</si>
  <si>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</si>
  <si>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</si>
  <si>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</si>
  <si>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</si>
  <si>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</si>
  <si>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</si>
  <si>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</si>
  <si>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</si>
  <si>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</si>
  <si>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</si>
  <si>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</si>
  <si>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</si>
  <si>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</si>
  <si>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</si>
  <si>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</si>
  <si>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</si>
  <si>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</si>
  <si>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</si>
  <si>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</si>
  <si>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</si>
  <si>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</si>
  <si>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</si>
  <si>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</si>
  <si>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</si>
  <si>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</si>
  <si>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</si>
  <si>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</si>
  <si>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</si>
  <si>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</si>
  <si>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</si>
  <si>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</si>
  <si>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</si>
  <si>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</si>
  <si>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</si>
  <si>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</si>
  <si>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</si>
  <si>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</si>
  <si>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</si>
  <si>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</si>
  <si>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</si>
  <si>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</si>
  <si>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</si>
  <si>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</si>
  <si>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</si>
  <si>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</si>
  <si>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</si>
  <si>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</si>
  <si>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</si>
  <si>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</si>
  <si>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</si>
  <si>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</si>
  <si>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</si>
  <si>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</si>
  <si>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</si>
  <si>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</si>
  <si>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</si>
  <si>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</si>
  <si>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</si>
  <si>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</si>
  <si>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</si>
  <si>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</si>
  <si>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</si>
  <si>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</si>
  <si>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</si>
  <si>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</si>
  <si>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</si>
  <si>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</si>
  <si>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</si>
  <si>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</si>
  <si>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</si>
  <si>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</si>
  <si>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</si>
  <si>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</si>
  <si>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</si>
  <si>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</si>
  <si>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</si>
  <si>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</si>
  <si>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</si>
  <si>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</si>
  <si>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</si>
  <si>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</si>
  <si>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</si>
  <si>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</si>
  <si>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</si>
  <si>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</si>
  <si>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</si>
  <si>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</si>
  <si>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</si>
  <si>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</si>
  <si>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</si>
  <si>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</si>
  <si>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</si>
  <si>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</si>
  <si>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</si>
  <si>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</si>
  <si>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</si>
  <si>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</si>
  <si>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</si>
  <si>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</si>
  <si>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</si>
  <si>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</si>
  <si>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</si>
  <si>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</si>
  <si>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</si>
  <si>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</si>
  <si>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</si>
  <si>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</si>
  <si>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</si>
  <si>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</si>
  <si>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</si>
  <si>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</si>
  <si>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</si>
  <si>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</si>
  <si>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</si>
  <si>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</si>
  <si>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</si>
  <si>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</si>
  <si>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</si>
  <si>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</si>
  <si>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</si>
  <si>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</si>
  <si>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</si>
  <si>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</si>
  <si>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</si>
  <si>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</si>
  <si>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</si>
  <si>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</si>
  <si>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</si>
  <si>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</si>
  <si>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</si>
  <si>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</si>
  <si>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</si>
  <si>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</si>
  <si>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</si>
  <si>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</si>
  <si>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</si>
  <si>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</si>
  <si>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</si>
  <si>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</si>
  <si>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</si>
  <si>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</si>
  <si>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</si>
  <si>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</si>
  <si>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</si>
  <si>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</si>
  <si>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</si>
  <si>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</si>
  <si>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</si>
  <si>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</si>
  <si>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</si>
  <si>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</si>
  <si>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</si>
  <si>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</si>
  <si>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</si>
  <si>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</si>
  <si>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</si>
  <si>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</si>
  <si>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</si>
  <si>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</si>
  <si>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</si>
  <si>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</si>
  <si>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</si>
  <si>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</si>
  <si>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</si>
  <si>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</si>
  <si>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</si>
  <si>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</si>
  <si>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</si>
  <si>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</si>
  <si>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</si>
  <si>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</si>
  <si>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</si>
  <si>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</si>
  <si>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</si>
  <si>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</si>
  <si>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</si>
  <si>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</si>
  <si>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</si>
  <si>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</si>
  <si>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</si>
  <si>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</si>
  <si>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</si>
  <si>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</si>
  <si>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</si>
  <si>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</si>
  <si>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</si>
  <si>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</si>
  <si>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</si>
  <si>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</si>
  <si>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</si>
  <si>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</si>
  <si>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</si>
  <si>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</si>
  <si>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</si>
  <si>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</si>
  <si>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</si>
  <si>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</si>
  <si>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</si>
  <si>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</si>
  <si>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</si>
  <si>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</si>
  <si>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</si>
  <si>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</si>
  <si>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</si>
  <si>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</si>
  <si>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</si>
  <si>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</si>
  <si>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</si>
  <si>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</si>
  <si>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</si>
  <si>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</si>
  <si>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</si>
  <si>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</si>
  <si>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</si>
  <si>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</si>
  <si>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</si>
  <si>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</si>
  <si>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</si>
  <si>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</si>
  <si>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</si>
  <si>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</si>
  <si>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</si>
  <si>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</si>
  <si>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</si>
  <si>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</si>
  <si>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</si>
  <si>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</si>
  <si>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</si>
  <si>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</si>
  <si>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</si>
  <si>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</si>
  <si>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</si>
  <si>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</si>
  <si>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</si>
  <si>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</si>
  <si>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</si>
  <si>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</si>
  <si>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</si>
  <si>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</si>
  <si>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</si>
  <si>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</si>
  <si>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</si>
  <si>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</si>
  <si>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</si>
  <si>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</si>
  <si>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</si>
  <si>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</si>
  <si>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</si>
  <si>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</si>
  <si>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</si>
  <si>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</si>
  <si>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</si>
  <si>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</si>
  <si>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</si>
  <si>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</si>
  <si>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</si>
  <si>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</si>
  <si>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</si>
  <si>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</si>
  <si>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</si>
  <si>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</si>
  <si>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</si>
  <si>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</si>
  <si>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</si>
  <si>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</si>
  <si>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</si>
  <si>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</si>
  <si>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</si>
  <si>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</si>
  <si>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</si>
  <si>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</si>
  <si>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</si>
  <si>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</si>
  <si>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</si>
  <si>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</si>
  <si>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</si>
  <si>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</si>
  <si>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</si>
  <si>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</si>
  <si>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</si>
  <si>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</si>
  <si>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</si>
  <si>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</si>
  <si>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</si>
  <si>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</si>
  <si>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</si>
  <si>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</si>
  <si>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</si>
  <si>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</si>
  <si>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</si>
  <si>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</si>
  <si>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</si>
  <si>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</si>
  <si>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</si>
  <si>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</si>
  <si>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</si>
  <si>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</si>
  <si>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</si>
  <si>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</si>
  <si>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</si>
  <si>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</si>
  <si>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</si>
  <si>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</si>
  <si>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</si>
  <si>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</si>
  <si>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</si>
  <si>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</si>
  <si>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</si>
  <si>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</si>
  <si>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</si>
  <si>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</si>
  <si>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</si>
  <si>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</si>
  <si>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</si>
  <si>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</si>
  <si>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</si>
  <si>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</si>
  <si>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</si>
  <si>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</si>
  <si>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</si>
  <si>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</si>
  <si>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</si>
  <si>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</si>
  <si>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</si>
  <si>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</si>
  <si>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</si>
  <si>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</si>
  <si>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</si>
  <si>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</si>
  <si>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</si>
  <si>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</si>
  <si>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</si>
  <si>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</si>
  <si>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</si>
  <si>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</si>
  <si>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</si>
  <si>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</si>
  <si>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</si>
  <si>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</si>
  <si>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</si>
  <si>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</si>
  <si>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</si>
  <si>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</si>
  <si>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</si>
  <si>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</si>
  <si>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</si>
  <si>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</si>
  <si>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</si>
  <si>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</si>
  <si>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</si>
  <si>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</si>
  <si>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</si>
  <si>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</si>
  <si>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</si>
  <si>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</si>
  <si>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</si>
  <si>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</si>
  <si>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</si>
  <si>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</si>
  <si>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</si>
  <si>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</si>
  <si>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</si>
  <si>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</si>
  <si>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</si>
  <si>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</si>
  <si>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</si>
  <si>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</si>
  <si>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</si>
  <si>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</si>
  <si>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</si>
  <si>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</si>
  <si>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</si>
  <si>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</si>
  <si>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</si>
  <si>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</si>
  <si>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</si>
  <si>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</si>
  <si>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</si>
  <si>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</si>
  <si>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</si>
  <si>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</si>
  <si>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</si>
  <si>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0761/88888-2274</t>
  </si>
  <si>
    <t>Oliver Brucker</t>
  </si>
  <si>
    <t>DE_HEF33</t>
  </si>
  <si>
    <t>DE_HMF33</t>
  </si>
  <si>
    <t>DE_GMK33</t>
  </si>
  <si>
    <t>DE_GKO33</t>
  </si>
  <si>
    <t>DE_GHA33</t>
  </si>
  <si>
    <t>DE_GBD33</t>
  </si>
  <si>
    <t>DE_GBH33</t>
  </si>
  <si>
    <t>DE_GGA33</t>
  </si>
  <si>
    <t>DE_GBA33</t>
  </si>
  <si>
    <t>DE_GWA33</t>
  </si>
  <si>
    <t>DE_GGB33</t>
  </si>
  <si>
    <t>DE_GPD33</t>
  </si>
  <si>
    <t>Temp. hist. Ø (Monat)</t>
  </si>
  <si>
    <t>2009 - 2015</t>
  </si>
  <si>
    <t>AB-Datum</t>
  </si>
  <si>
    <t>BIS-Datum</t>
  </si>
  <si>
    <t>Energie- und Wasserversorgung Kirchzarten GmbH</t>
  </si>
  <si>
    <t>9870103600002</t>
  </si>
  <si>
    <t>Kirchzarten</t>
  </si>
  <si>
    <t>EWK</t>
  </si>
  <si>
    <t>EDM.EWK-netz@energiexchange.de</t>
  </si>
  <si>
    <t>NCHN007010360000</t>
  </si>
  <si>
    <t>10804 Freiburg-Ebnet</t>
  </si>
  <si>
    <t>Freiburg-Ebnet</t>
  </si>
  <si>
    <t>SLP-Temp-Gebiet#01 | Hist. Monatsdurchschnitt 10804 Freiburg-Ebnet</t>
  </si>
  <si>
    <t>2009 - 2019</t>
  </si>
  <si>
    <t>Talvogteistraße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</si>
</sst>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70" borderId="0" xfId="0" applyFill="1"/>
    <xf numFmtId="14" fontId="92" fillId="70" borderId="68" xfId="0" applyNumberFormat="1" applyFont="1" applyFill="1" applyBorder="1" applyAlignment="1">
      <alignment horizontal="center"/>
    </xf>
    <xf numFmtId="14" fontId="92" fillId="70" borderId="41" xfId="0" applyNumberFormat="1" applyFont="1" applyFill="1" applyBorder="1" applyAlignment="1">
      <alignment horizontal="center"/>
    </xf>
    <xf numFmtId="14" fontId="92" fillId="70" borderId="27" xfId="0" applyNumberFormat="1" applyFont="1" applyFill="1" applyBorder="1" applyAlignment="1">
      <alignment horizontal="center"/>
    </xf>
    <xf numFmtId="14" fontId="92" fillId="70" borderId="26" xfId="0" applyNumberFormat="1" applyFont="1" applyFill="1" applyBorder="1" applyAlignment="1">
      <alignment horizontal="center"/>
    </xf>
    <xf numFmtId="0" fontId="93" fillId="37" borderId="22" xfId="0" applyFont="1" applyFill="1" applyBorder="1" applyAlignment="1">
      <alignment horizontal="center"/>
    </xf>
    <xf numFmtId="0" fontId="93" fillId="37" borderId="23" xfId="0" applyFont="1" applyFill="1" applyBorder="1" applyAlignment="1">
      <alignment horizontal="center"/>
    </xf>
    <xf numFmtId="0" fontId="93" fillId="37" borderId="21" xfId="0" applyFont="1" applyFill="1" applyBorder="1" applyAlignment="1">
      <alignment horizontal="center"/>
    </xf>
    <xf numFmtId="192" fontId="92" fillId="70" borderId="72" xfId="0" applyNumberFormat="1" applyFont="1" applyFill="1" applyBorder="1" applyAlignment="1">
      <alignment horizontal="center"/>
    </xf>
    <xf numFmtId="192" fontId="92" fillId="70" borderId="25" xfId="0" applyNumberFormat="1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93" fillId="77" borderId="21" xfId="0" applyNumberFormat="1" applyFont="1" applyFill="1" applyBorder="1" applyAlignment="1">
      <alignment horizontal="center"/>
    </xf>
    <xf numFmtId="192" fontId="93" fillId="77" borderId="72" xfId="0" applyNumberFormat="1" applyFont="1" applyFill="1" applyBorder="1" applyAlignment="1">
      <alignment horizontal="center"/>
    </xf>
    <xf numFmtId="192" fontId="93" fillId="77" borderId="25" xfId="0" applyNumberFormat="1" applyFont="1" applyFill="1" applyBorder="1" applyAlignment="1">
      <alignment horizontal="center"/>
    </xf>
    <xf numFmtId="14" fontId="92" fillId="77" borderId="68" xfId="0" applyNumberFormat="1" applyFont="1" applyFill="1" applyBorder="1" applyAlignment="1">
      <alignment horizontal="center"/>
    </xf>
    <xf numFmtId="14" fontId="92" fillId="77" borderId="27" xfId="0" applyNumberFormat="1" applyFont="1" applyFill="1" applyBorder="1" applyAlignment="1">
      <alignment horizontal="center"/>
    </xf>
    <xf numFmtId="192" fontId="92" fillId="70" borderId="21" xfId="0" applyNumberFormat="1" applyFont="1" applyFill="1" applyBorder="1" applyAlignment="1">
      <alignment horizontal="center"/>
    </xf>
    <xf numFmtId="14" fontId="92" fillId="70" borderId="0" xfId="0" applyNumberFormat="1" applyFont="1" applyFill="1" applyBorder="1" applyAlignment="1">
      <alignment horizontal="center"/>
    </xf>
    <xf numFmtId="14" fontId="92" fillId="70" borderId="56" xfId="0" applyNumberFormat="1" applyFont="1" applyFill="1" applyBorder="1" applyAlignment="1">
      <alignment horizontal="center"/>
    </xf>
    <xf numFmtId="14" fontId="92" fillId="77" borderId="0" xfId="0" applyNumberFormat="1" applyFont="1" applyFill="1" applyBorder="1" applyAlignment="1">
      <alignment horizontal="center"/>
    </xf>
    <xf numFmtId="14" fontId="92" fillId="77" borderId="56" xfId="0" applyNumberFormat="1" applyFont="1" applyFill="1" applyBorder="1" applyAlignment="1">
      <alignment horizontal="center"/>
    </xf>
    <xf numFmtId="14" fontId="92" fillId="70" borderId="22" xfId="0" applyNumberFormat="1" applyFont="1" applyFill="1" applyBorder="1" applyAlignment="1">
      <alignment horizontal="center"/>
    </xf>
    <xf numFmtId="14" fontId="92" fillId="70" borderId="23" xfId="0" applyNumberFormat="1" applyFont="1" applyFill="1" applyBorder="1" applyAlignment="1">
      <alignment horizontal="center"/>
    </xf>
    <xf numFmtId="192" fontId="93" fillId="70" borderId="21" xfId="0" applyNumberFormat="1" applyFont="1" applyFill="1" applyBorder="1" applyAlignment="1">
      <alignment horizontal="center"/>
    </xf>
    <xf numFmtId="192" fontId="93" fillId="70" borderId="72" xfId="0" applyNumberFormat="1" applyFont="1" applyFill="1" applyBorder="1" applyAlignment="1">
      <alignment horizontal="center"/>
    </xf>
    <xf numFmtId="192" fontId="93" fillId="70" borderId="25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14</xdr:col>
      <xdr:colOff>2066925</xdr:colOff>
      <xdr:row>46</xdr:row>
      <xdr:rowOff>78492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77525" y="8620125"/>
          <a:ext cx="3762375" cy="1640592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9" sqref="L1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651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497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4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648</v>
      </c>
      <c r="D4" s="27">
        <v>44131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4" t="s">
        <v>647</v>
      </c>
      <c r="D6" s="27">
        <v>42644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261</v>
      </c>
      <c r="D9" s="348" t="s">
        <v>673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9" t="s">
        <v>674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262</v>
      </c>
      <c r="D13" s="350" t="s">
        <v>683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263</v>
      </c>
      <c r="D15" s="351">
        <v>79199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264</v>
      </c>
      <c r="D17" s="352" t="s">
        <v>675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265</v>
      </c>
      <c r="D19" s="41" t="s">
        <v>656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266</v>
      </c>
      <c r="D21" s="354" t="s">
        <v>677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267</v>
      </c>
      <c r="D23" s="41" t="s">
        <v>655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3" t="s">
        <v>499</v>
      </c>
      <c r="D28" s="46" t="str">
        <f>IF(D27&lt;&gt;C28,VLOOKUP(D27,$C$29:$D$48,2,FALSE),C28)</f>
        <v>EWK</v>
      </c>
      <c r="E28" s="38"/>
      <c r="F28" s="11"/>
      <c r="G28" s="2"/>
    </row>
    <row r="29" spans="1:15">
      <c r="B29" s="15"/>
      <c r="C29" s="22" t="s">
        <v>395</v>
      </c>
      <c r="D29" s="353" t="s">
        <v>676</v>
      </c>
      <c r="E29" s="40"/>
      <c r="F29" s="11"/>
      <c r="G29" s="2"/>
    </row>
    <row r="30" spans="1:15">
      <c r="B30" s="15"/>
      <c r="C30" s="22" t="s">
        <v>396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431</v>
      </c>
      <c r="D38" s="44"/>
      <c r="E38" s="40"/>
      <c r="F38" s="45"/>
      <c r="G38" s="2"/>
    </row>
    <row r="39" spans="2:7">
      <c r="B39" s="15"/>
      <c r="C39" s="22" t="s">
        <v>432</v>
      </c>
      <c r="D39" s="44"/>
      <c r="E39" s="40"/>
      <c r="F39" s="45"/>
      <c r="G39" s="2"/>
    </row>
    <row r="40" spans="2:7">
      <c r="B40" s="15"/>
      <c r="C40" s="22" t="s">
        <v>433</v>
      </c>
      <c r="D40" s="44"/>
      <c r="E40" s="40"/>
      <c r="F40" s="45"/>
      <c r="G40" s="2"/>
    </row>
    <row r="41" spans="2:7">
      <c r="B41" s="15"/>
      <c r="C41" s="22" t="s">
        <v>434</v>
      </c>
      <c r="D41" s="44"/>
      <c r="E41" s="40"/>
      <c r="F41" s="45"/>
      <c r="G41" s="2"/>
    </row>
    <row r="42" spans="2:7">
      <c r="B42" s="15"/>
      <c r="C42" s="22" t="s">
        <v>435</v>
      </c>
      <c r="D42" s="44"/>
      <c r="E42" s="40"/>
      <c r="F42" s="45"/>
      <c r="G42" s="2"/>
    </row>
    <row r="43" spans="2:7">
      <c r="B43" s="15"/>
      <c r="C43" s="22" t="s">
        <v>436</v>
      </c>
      <c r="D43" s="44"/>
      <c r="E43" s="40"/>
      <c r="F43" s="45"/>
      <c r="G43" s="2"/>
    </row>
    <row r="44" spans="2:7">
      <c r="B44" s="15"/>
      <c r="C44" s="22" t="s">
        <v>437</v>
      </c>
      <c r="D44" s="44"/>
      <c r="E44" s="40"/>
      <c r="F44" s="45"/>
      <c r="G44" s="2"/>
    </row>
    <row r="45" spans="2:7">
      <c r="B45" s="15"/>
      <c r="C45" s="22" t="s">
        <v>438</v>
      </c>
      <c r="D45" s="44"/>
      <c r="E45" s="40"/>
      <c r="F45" s="45"/>
      <c r="G45" s="2"/>
    </row>
    <row r="46" spans="2:7">
      <c r="B46" s="15"/>
      <c r="C46" s="22" t="s">
        <v>439</v>
      </c>
      <c r="D46" s="44"/>
      <c r="E46" s="40"/>
      <c r="F46" s="45"/>
    </row>
    <row r="47" spans="2:7">
      <c r="B47" s="15"/>
      <c r="C47" s="22" t="s">
        <v>440</v>
      </c>
      <c r="D47" s="44"/>
      <c r="E47" s="40"/>
      <c r="F47" s="45"/>
    </row>
    <row r="48" spans="2:7">
      <c r="B48" s="15"/>
      <c r="C48" s="22" t="s">
        <v>441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46" priority="2">
      <formula>IF(CELL("Zeile",D29)&lt;$D$25+CELL("Zeile",$D$29),1,0)</formula>
    </cfRule>
  </conditionalFormatting>
  <conditionalFormatting sqref="D30:D48">
    <cfRule type="expression" dxfId="4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E49" sqref="E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445</v>
      </c>
      <c r="D5" s="56" t="str">
        <f>Netzbetreiber!$D$9</f>
        <v>Energie- und Wasserversorgung Kirchzarten GmbH</v>
      </c>
      <c r="H5" s="65"/>
      <c r="I5" s="65"/>
      <c r="J5" s="65"/>
      <c r="K5" s="65"/>
    </row>
    <row r="6" spans="2:15" ht="15" customHeight="1">
      <c r="B6" s="22"/>
      <c r="C6" s="59" t="s">
        <v>444</v>
      </c>
      <c r="D6" s="56" t="str">
        <f>Netzbetreiber!D28</f>
        <v>EWK</v>
      </c>
      <c r="E6" s="15"/>
      <c r="H6" s="65"/>
      <c r="I6" s="65"/>
      <c r="J6" s="65"/>
      <c r="K6" s="65"/>
    </row>
    <row r="7" spans="2:15" ht="15" customHeight="1">
      <c r="B7" s="22"/>
      <c r="C7" s="58" t="s">
        <v>486</v>
      </c>
      <c r="D7" s="325" t="str">
        <f>Netzbetreiber!$D$11</f>
        <v>9870103600002</v>
      </c>
      <c r="E7" s="15"/>
      <c r="H7" s="65"/>
      <c r="I7" s="65"/>
      <c r="J7" s="65"/>
      <c r="K7" s="65"/>
    </row>
    <row r="8" spans="2:15" ht="15" customHeight="1">
      <c r="B8" s="22"/>
      <c r="C8" s="54" t="s">
        <v>133</v>
      </c>
      <c r="D8" s="48">
        <f>Netzbetreiber!$D$6</f>
        <v>42644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9" t="s">
        <v>256</v>
      </c>
      <c r="I11" s="269" t="s">
        <v>259</v>
      </c>
      <c r="J11" s="269" t="s">
        <v>260</v>
      </c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609</v>
      </c>
      <c r="D13" s="33" t="s">
        <v>610</v>
      </c>
      <c r="E13" s="15"/>
      <c r="H13" s="269" t="s">
        <v>610</v>
      </c>
      <c r="I13" s="269" t="s">
        <v>611</v>
      </c>
      <c r="J13" s="65"/>
      <c r="K13" s="65"/>
    </row>
    <row r="14" spans="2:15" ht="15" customHeight="1">
      <c r="B14" s="22"/>
      <c r="C14" s="5"/>
      <c r="D14" s="29"/>
      <c r="E14" s="15"/>
      <c r="H14" s="65"/>
      <c r="I14" s="65"/>
      <c r="J14" s="65"/>
      <c r="K14" s="65"/>
    </row>
    <row r="15" spans="2:15" ht="15" customHeight="1">
      <c r="B15" s="7" t="s">
        <v>83</v>
      </c>
      <c r="C15" s="5" t="s">
        <v>430</v>
      </c>
      <c r="D15" s="355" t="s">
        <v>678</v>
      </c>
      <c r="E15" s="15"/>
      <c r="H15" s="65"/>
      <c r="I15" s="65"/>
      <c r="J15" s="65"/>
      <c r="K15" s="65"/>
    </row>
    <row r="16" spans="2:15" ht="15" customHeight="1">
      <c r="B16" s="23"/>
      <c r="C16" s="5" t="s">
        <v>429</v>
      </c>
      <c r="D16" s="42" t="s">
        <v>428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368</v>
      </c>
      <c r="D18" s="47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569</v>
      </c>
      <c r="I19" s="268" t="s">
        <v>487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488</v>
      </c>
      <c r="I20" s="268" t="s">
        <v>489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607</v>
      </c>
      <c r="D22" s="47" t="s">
        <v>603</v>
      </c>
      <c r="E22" s="15"/>
      <c r="H22" s="265" t="s">
        <v>603</v>
      </c>
      <c r="I22" s="265" t="s">
        <v>604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7" t="s">
        <v>605</v>
      </c>
      <c r="E23" s="15"/>
      <c r="H23" s="265" t="s">
        <v>606</v>
      </c>
      <c r="I23" s="8" t="s">
        <v>602</v>
      </c>
      <c r="J23" s="8"/>
      <c r="K23" s="8"/>
      <c r="L23" s="266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5" t="s">
        <v>605</v>
      </c>
      <c r="I24" s="265" t="s">
        <v>612</v>
      </c>
      <c r="J24" s="8"/>
      <c r="K24" s="8"/>
      <c r="L24" s="268" t="s">
        <v>613</v>
      </c>
      <c r="M24" s="268" t="s">
        <v>615</v>
      </c>
      <c r="N24" s="268" t="s">
        <v>614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616</v>
      </c>
      <c r="D27" s="42" t="s">
        <v>617</v>
      </c>
      <c r="E27" s="15"/>
      <c r="H27" s="294" t="s">
        <v>617</v>
      </c>
      <c r="I27" s="267" t="s">
        <v>618</v>
      </c>
      <c r="J27" s="267" t="s">
        <v>619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68" t="s">
        <v>620</v>
      </c>
      <c r="I28" s="268" t="s">
        <v>621</v>
      </c>
      <c r="J28" s="268" t="s">
        <v>622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68" t="s">
        <v>623</v>
      </c>
      <c r="I29" s="268" t="s">
        <v>624</v>
      </c>
      <c r="J29" s="268" t="s">
        <v>625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492</v>
      </c>
      <c r="C31" s="6" t="s">
        <v>571</v>
      </c>
      <c r="D31" s="42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626</v>
      </c>
      <c r="I32" s="268" t="s">
        <v>627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628</v>
      </c>
      <c r="I33" s="265" t="s">
        <v>623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543</v>
      </c>
      <c r="C35" s="24" t="s">
        <v>494</v>
      </c>
      <c r="D35" s="42">
        <v>13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503</v>
      </c>
      <c r="I37" s="265"/>
      <c r="J37" s="265"/>
      <c r="K37" s="265"/>
      <c r="L37" s="265"/>
      <c r="M37" s="266"/>
    </row>
    <row r="38" spans="2:39" customFormat="1" ht="15" customHeight="1">
      <c r="C38" s="8" t="s">
        <v>490</v>
      </c>
      <c r="F38" s="13"/>
      <c r="G38" s="13"/>
      <c r="H38" s="65"/>
      <c r="I38" s="65"/>
      <c r="J38" s="65"/>
      <c r="K38" s="6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5"/>
      <c r="I39" s="65"/>
      <c r="J39" s="65"/>
      <c r="K39" s="65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5"/>
      <c r="I40" s="65"/>
      <c r="J40" s="65"/>
      <c r="K40" s="65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58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356" t="s">
        <v>679</v>
      </c>
    </row>
    <row r="49" spans="3:4" ht="18" customHeight="1">
      <c r="C49" s="22" t="s">
        <v>581</v>
      </c>
      <c r="D49" s="43"/>
    </row>
    <row r="50" spans="3:4" ht="18" customHeight="1">
      <c r="C50" s="22" t="s">
        <v>582</v>
      </c>
      <c r="D50" s="43"/>
    </row>
    <row r="51" spans="3:4" ht="18" customHeight="1">
      <c r="C51" s="22" t="s">
        <v>583</v>
      </c>
      <c r="D51" s="43"/>
    </row>
    <row r="52" spans="3:4" ht="18" customHeight="1">
      <c r="C52" s="22" t="s">
        <v>584</v>
      </c>
      <c r="D52" s="43"/>
    </row>
    <row r="53" spans="3:4" ht="18" customHeight="1">
      <c r="C53" s="22" t="s">
        <v>585</v>
      </c>
      <c r="D53" s="43"/>
    </row>
    <row r="54" spans="3:4" ht="18" customHeight="1">
      <c r="C54" s="22" t="s">
        <v>586</v>
      </c>
      <c r="D54" s="43"/>
    </row>
    <row r="55" spans="3:4" ht="18" customHeight="1">
      <c r="C55" s="22" t="s">
        <v>587</v>
      </c>
      <c r="D55" s="43"/>
    </row>
    <row r="56" spans="3:4" ht="18" customHeight="1">
      <c r="C56" s="22" t="s">
        <v>588</v>
      </c>
      <c r="D56" s="43"/>
    </row>
    <row r="57" spans="3:4" ht="18" customHeight="1">
      <c r="C57" s="22" t="s">
        <v>589</v>
      </c>
      <c r="D57" s="43"/>
    </row>
    <row r="58" spans="3:4" ht="18" customHeight="1">
      <c r="C58" s="22" t="s">
        <v>590</v>
      </c>
      <c r="D58" s="43"/>
    </row>
    <row r="59" spans="3:4" ht="18" customHeight="1">
      <c r="C59" s="22" t="s">
        <v>591</v>
      </c>
      <c r="D59" s="43"/>
    </row>
    <row r="60" spans="3:4" ht="18" customHeight="1">
      <c r="C60" s="22" t="s">
        <v>592</v>
      </c>
      <c r="D60" s="43"/>
    </row>
    <row r="61" spans="3:4" ht="18" customHeight="1">
      <c r="C61" s="22" t="s">
        <v>593</v>
      </c>
      <c r="D61" s="43"/>
    </row>
    <row r="62" spans="3:4" ht="18" customHeight="1">
      <c r="C62" s="22" t="s">
        <v>594</v>
      </c>
      <c r="D62" s="43"/>
    </row>
  </sheetData>
  <sheetProtection sheet="1" objects="1" scenarios="1"/>
  <conditionalFormatting sqref="D15">
    <cfRule type="expression" dxfId="44" priority="21">
      <formula>IF($D$11="Gaspool",1,0)</formula>
    </cfRule>
  </conditionalFormatting>
  <conditionalFormatting sqref="D16">
    <cfRule type="expression" dxfId="43" priority="18">
      <formula>IF($D$11="NCG",1,0)</formula>
    </cfRule>
  </conditionalFormatting>
  <conditionalFormatting sqref="D48:D62">
    <cfRule type="expression" dxfId="42" priority="17">
      <formula>IF(CELL("Zeile",D48)&lt;$D$46+CELL("Zeile",$D$48),1,0)</formula>
    </cfRule>
  </conditionalFormatting>
  <conditionalFormatting sqref="D49:D62">
    <cfRule type="expression" dxfId="41" priority="16">
      <formula>IF(CELL(D49)&lt;$D$36+27,1,0)</formula>
    </cfRule>
  </conditionalFormatting>
  <conditionalFormatting sqref="D23">
    <cfRule type="expression" dxfId="40" priority="15">
      <formula>IF($D$22=$H$22,1,0)</formula>
    </cfRule>
  </conditionalFormatting>
  <conditionalFormatting sqref="D31">
    <cfRule type="expression" dxfId="39" priority="4">
      <formula>IF($D$18="synthetisch",1,0)</formula>
    </cfRule>
  </conditionalFormatting>
  <conditionalFormatting sqref="D28">
    <cfRule type="expression" dxfId="38" priority="2">
      <formula>IF(AND($D$27=$I$27,$D$26=$H$26),1,0)</formula>
    </cfRule>
  </conditionalFormatting>
  <conditionalFormatting sqref="D26:D28">
    <cfRule type="expression" dxfId="37" priority="5">
      <formula>IF($D$18="analytisch",1,0)</formula>
    </cfRule>
  </conditionalFormatting>
  <conditionalFormatting sqref="D27">
    <cfRule type="expression" dxfId="3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BD78"/>
  <sheetViews>
    <sheetView showGridLines="0" topLeftCell="A43" zoomScale="70" zoomScaleNormal="70" workbookViewId="0">
      <selection activeCell="I34" sqref="I34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5" width="16.85546875" style="125" customWidth="1"/>
    <col min="6" max="8" width="12.7109375" style="125" customWidth="1"/>
    <col min="9" max="9" width="21.42578125" style="125" bestFit="1" customWidth="1"/>
    <col min="10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4" width="1" style="55" hidden="1"/>
  </cols>
  <sheetData>
    <row r="1" spans="2:56" ht="75" customHeight="1"/>
    <row r="2" spans="2:56" ht="23.25">
      <c r="B2" s="168" t="s">
        <v>538</v>
      </c>
    </row>
    <row r="3" spans="2:56" ht="15" customHeight="1">
      <c r="B3" s="168"/>
    </row>
    <row r="4" spans="2:56">
      <c r="B4" s="127"/>
      <c r="C4" s="54" t="s">
        <v>445</v>
      </c>
      <c r="D4" s="55"/>
      <c r="E4" s="327" t="str">
        <f>Netzbetreiber!D9</f>
        <v>Energie- und Wasserversorgung Kirchzarten GmbH</v>
      </c>
      <c r="F4" s="327"/>
      <c r="G4" s="327"/>
      <c r="M4" s="127"/>
      <c r="N4" s="127"/>
      <c r="O4" s="127"/>
    </row>
    <row r="5" spans="2:56">
      <c r="B5" s="127"/>
      <c r="C5" s="54" t="s">
        <v>444</v>
      </c>
      <c r="D5" s="55"/>
      <c r="E5" s="56" t="str">
        <f>Netzbetreiber!D28</f>
        <v>EWK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486</v>
      </c>
      <c r="D6" s="55"/>
      <c r="E6" s="326" t="str">
        <f>Netzbetreiber!D11</f>
        <v>9870103600002</v>
      </c>
      <c r="F6" s="326"/>
      <c r="G6" s="326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Netzbetreiber!D6</f>
        <v>42644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518</v>
      </c>
      <c r="D9" s="127"/>
      <c r="E9" s="127"/>
      <c r="F9" s="151">
        <f>'SLP-Verfahren'!D46</f>
        <v>1</v>
      </c>
      <c r="H9" s="169" t="s">
        <v>595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579</v>
      </c>
      <c r="D10" s="127"/>
      <c r="E10" s="127"/>
      <c r="F10" s="47">
        <v>1</v>
      </c>
      <c r="G10" s="55"/>
      <c r="H10" s="169" t="s">
        <v>596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597</v>
      </c>
      <c r="D11" s="127"/>
      <c r="E11" s="127"/>
      <c r="F11" s="329" t="str">
        <f>INDEX('SLP-Verfahren'!D48:D62,'SLP-Temp-Gebiet#01'!F10)</f>
        <v>10804 Freiburg-Ebnet</v>
      </c>
      <c r="G11" s="329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74" t="s">
        <v>578</v>
      </c>
      <c r="D13" s="374"/>
      <c r="E13" s="374"/>
      <c r="F13" s="179" t="s">
        <v>542</v>
      </c>
      <c r="G13" s="127" t="s">
        <v>540</v>
      </c>
      <c r="H13" s="259" t="s">
        <v>557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75" t="s">
        <v>448</v>
      </c>
      <c r="D14" s="375"/>
      <c r="E14" s="87" t="s">
        <v>449</v>
      </c>
      <c r="F14" s="260" t="s">
        <v>85</v>
      </c>
      <c r="G14" s="261" t="s">
        <v>566</v>
      </c>
      <c r="H14" s="49">
        <v>0</v>
      </c>
      <c r="I14" s="55"/>
      <c r="J14" s="127"/>
      <c r="K14" s="127"/>
      <c r="L14" s="127"/>
      <c r="M14" s="127"/>
      <c r="N14" s="127"/>
      <c r="O14" s="328" t="s">
        <v>645</v>
      </c>
      <c r="R14" s="205" t="s">
        <v>558</v>
      </c>
      <c r="S14" s="205" t="s">
        <v>559</v>
      </c>
      <c r="T14" s="205" t="s">
        <v>560</v>
      </c>
      <c r="U14" s="205" t="s">
        <v>561</v>
      </c>
      <c r="V14" s="205" t="s">
        <v>541</v>
      </c>
      <c r="W14" s="205" t="s">
        <v>562</v>
      </c>
      <c r="X14" s="205" t="s">
        <v>563</v>
      </c>
      <c r="Y14" s="205" t="s">
        <v>564</v>
      </c>
      <c r="Z14" s="205" t="s">
        <v>565</v>
      </c>
      <c r="AA14" s="205" t="s">
        <v>566</v>
      </c>
      <c r="AB14" s="205" t="s">
        <v>567</v>
      </c>
      <c r="AC14" s="205" t="s">
        <v>568</v>
      </c>
    </row>
    <row r="15" spans="2:56" ht="19.5" customHeight="1">
      <c r="B15" s="127"/>
      <c r="C15" s="375" t="s">
        <v>387</v>
      </c>
      <c r="D15" s="375"/>
      <c r="E15" s="87" t="s">
        <v>449</v>
      </c>
      <c r="F15" s="260" t="s">
        <v>71</v>
      </c>
      <c r="G15" s="261" t="s">
        <v>560</v>
      </c>
      <c r="H15" s="49">
        <v>0</v>
      </c>
      <c r="I15" s="55"/>
      <c r="J15" s="127"/>
      <c r="K15" s="127"/>
      <c r="L15" s="127"/>
      <c r="M15" s="127"/>
      <c r="N15" s="127"/>
      <c r="O15" s="158" t="s">
        <v>500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543</v>
      </c>
      <c r="AJ15" s="258" t="s">
        <v>544</v>
      </c>
      <c r="AK15" s="258" t="s">
        <v>545</v>
      </c>
      <c r="AL15" s="258" t="s">
        <v>546</v>
      </c>
      <c r="AM15" s="258" t="s">
        <v>547</v>
      </c>
      <c r="AN15" s="258" t="s">
        <v>548</v>
      </c>
      <c r="AO15" s="258" t="s">
        <v>549</v>
      </c>
      <c r="AP15" s="258" t="s">
        <v>550</v>
      </c>
      <c r="AQ15" s="258" t="s">
        <v>551</v>
      </c>
      <c r="AR15" s="258" t="s">
        <v>552</v>
      </c>
      <c r="AS15" s="258" t="s">
        <v>553</v>
      </c>
      <c r="AT15" s="258" t="s">
        <v>554</v>
      </c>
      <c r="AU15" s="258" t="s">
        <v>555</v>
      </c>
      <c r="AV15" s="258" t="s">
        <v>556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171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513</v>
      </c>
      <c r="C17" s="173"/>
      <c r="D17" s="17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4" t="s">
        <v>519</v>
      </c>
      <c r="D18" s="127"/>
      <c r="E18" s="127"/>
      <c r="F18" s="47">
        <v>1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514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9"/>
      <c r="C21" s="180" t="s">
        <v>521</v>
      </c>
      <c r="D21" s="150" t="s">
        <v>512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9"/>
      <c r="C22" s="180" t="s">
        <v>531</v>
      </c>
      <c r="D22" s="182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9"/>
      <c r="C23" s="183" t="s">
        <v>137</v>
      </c>
      <c r="D23" s="184"/>
      <c r="E23" s="153" t="s">
        <v>500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5" t="s">
        <v>139</v>
      </c>
      <c r="S23" s="65" t="s">
        <v>500</v>
      </c>
      <c r="T23" s="286" t="str">
        <f>O15</f>
        <v>MeteoGroup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9"/>
      <c r="C24" s="183" t="s">
        <v>516</v>
      </c>
      <c r="D24" s="184"/>
      <c r="E24" s="357" t="s">
        <v>680</v>
      </c>
      <c r="F24" s="153" t="s">
        <v>575</v>
      </c>
      <c r="G24" s="153"/>
      <c r="H24" s="153"/>
      <c r="I24" s="153"/>
      <c r="J24" s="153"/>
      <c r="K24" s="153"/>
      <c r="L24" s="153"/>
      <c r="M24" s="153"/>
      <c r="N24" s="153"/>
      <c r="O24" s="181" t="s">
        <v>517</v>
      </c>
      <c r="Q24" s="207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9"/>
      <c r="C25" s="183" t="s">
        <v>511</v>
      </c>
      <c r="D25" s="184"/>
      <c r="E25" s="358">
        <v>10804</v>
      </c>
      <c r="F25" s="157" t="s">
        <v>363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5" t="s">
        <v>501</v>
      </c>
      <c r="S26" s="65" t="s">
        <v>502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515</v>
      </c>
      <c r="D28" s="127"/>
      <c r="E28" s="127"/>
      <c r="F28" s="47">
        <v>5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1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9"/>
      <c r="C31" s="180" t="s">
        <v>522</v>
      </c>
      <c r="D31" s="182" t="s">
        <v>254</v>
      </c>
      <c r="E31" s="277">
        <f>1-SUMPRODUCT(F29:N29,F31:N31)</f>
        <v>0.41069999999999995</v>
      </c>
      <c r="F31" s="277">
        <f>ROUND(F32/$D$32,4)</f>
        <v>0.20530000000000001</v>
      </c>
      <c r="G31" s="277">
        <f t="shared" ref="G31:N31" si="3">ROUND(G32/$D$32,4)</f>
        <v>0.1027</v>
      </c>
      <c r="H31" s="277">
        <f t="shared" si="3"/>
        <v>5.1299999999999998E-2</v>
      </c>
      <c r="I31" s="277">
        <f t="shared" si="3"/>
        <v>0.23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9"/>
      <c r="C32" s="180" t="s">
        <v>527</v>
      </c>
      <c r="D32" s="283">
        <f>SUMPRODUCT(E32:N32,E29:N29)</f>
        <v>1.875</v>
      </c>
      <c r="E32" s="278">
        <v>0.77</v>
      </c>
      <c r="F32" s="278">
        <v>0.38500000000000001</v>
      </c>
      <c r="G32" s="278">
        <v>0.1925</v>
      </c>
      <c r="H32" s="278">
        <v>9.6250000000000002E-2</v>
      </c>
      <c r="I32" s="152">
        <v>0.43125000000000002</v>
      </c>
      <c r="J32" s="152"/>
      <c r="K32" s="152"/>
      <c r="L32" s="152"/>
      <c r="M32" s="152"/>
      <c r="N32" s="152"/>
      <c r="O32" s="181" t="s">
        <v>145</v>
      </c>
      <c r="Q32" s="207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9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 t="s">
        <v>682</v>
      </c>
      <c r="J33" s="153"/>
      <c r="K33" s="153"/>
      <c r="L33" s="153"/>
      <c r="M33" s="153"/>
      <c r="N33" s="153"/>
      <c r="O33" s="181" t="s">
        <v>142</v>
      </c>
      <c r="Q33" s="207"/>
      <c r="R33" s="65" t="s">
        <v>3</v>
      </c>
      <c r="S33" s="65" t="s">
        <v>359</v>
      </c>
      <c r="T33" s="65" t="s">
        <v>350</v>
      </c>
      <c r="U33" s="65" t="s">
        <v>351</v>
      </c>
      <c r="V33" s="65" t="s">
        <v>352</v>
      </c>
      <c r="W33" s="65" t="s">
        <v>353</v>
      </c>
      <c r="X33" s="65" t="s">
        <v>354</v>
      </c>
      <c r="Y33" s="65" t="s">
        <v>355</v>
      </c>
      <c r="Z33" s="65" t="s">
        <v>356</v>
      </c>
      <c r="AA33" s="65" t="s">
        <v>357</v>
      </c>
      <c r="AB33" s="65" t="s">
        <v>358</v>
      </c>
      <c r="AC33" s="55" t="s">
        <v>670</v>
      </c>
    </row>
    <row r="34" spans="2:29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3" t="s">
        <v>508</v>
      </c>
      <c r="J34" s="159"/>
      <c r="K34" s="159"/>
      <c r="L34" s="159"/>
      <c r="M34" s="159"/>
      <c r="N34" s="159"/>
      <c r="O34" s="181" t="s">
        <v>142</v>
      </c>
      <c r="Q34" s="207"/>
      <c r="R34" s="65" t="s">
        <v>508</v>
      </c>
      <c r="S34" s="65" t="s">
        <v>509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9">
      <c r="B35" s="179"/>
      <c r="C35" s="183" t="s">
        <v>599</v>
      </c>
      <c r="D35" s="150" t="s">
        <v>600</v>
      </c>
      <c r="E35" s="153" t="s">
        <v>601</v>
      </c>
      <c r="F35" s="153" t="s">
        <v>601</v>
      </c>
      <c r="G35" s="153" t="s">
        <v>601</v>
      </c>
      <c r="H35" s="153" t="s">
        <v>601</v>
      </c>
      <c r="I35" s="153" t="s">
        <v>601</v>
      </c>
      <c r="J35" s="153" t="s">
        <v>598</v>
      </c>
      <c r="K35" s="153" t="s">
        <v>598</v>
      </c>
      <c r="L35" s="153" t="s">
        <v>598</v>
      </c>
      <c r="M35" s="153" t="s">
        <v>598</v>
      </c>
      <c r="N35" s="153" t="s">
        <v>598</v>
      </c>
      <c r="O35" s="181" t="s">
        <v>142</v>
      </c>
      <c r="Q35" s="207"/>
      <c r="R35" s="65" t="s">
        <v>598</v>
      </c>
      <c r="S35" s="65" t="s">
        <v>601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9">
      <c r="B36" s="179"/>
      <c r="C36" s="188" t="s">
        <v>443</v>
      </c>
      <c r="D36" s="116" t="s">
        <v>532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 t="s">
        <v>669</v>
      </c>
      <c r="J36" s="159"/>
      <c r="K36" s="159"/>
      <c r="L36" s="159"/>
      <c r="M36" s="159"/>
      <c r="N36" s="159"/>
      <c r="O36" s="181" t="s">
        <v>142</v>
      </c>
      <c r="Q36" s="207"/>
      <c r="R36" s="65" t="s">
        <v>453</v>
      </c>
      <c r="S36" s="65" t="s">
        <v>452</v>
      </c>
      <c r="T36" s="65" t="s">
        <v>669</v>
      </c>
      <c r="U36" s="65"/>
      <c r="V36" s="65"/>
      <c r="W36" s="65"/>
      <c r="X36" s="65"/>
      <c r="Y36" s="65"/>
      <c r="Z36" s="65"/>
      <c r="AA36" s="65"/>
      <c r="AB36" s="65"/>
    </row>
    <row r="37" spans="2:29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9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9" ht="18">
      <c r="B39" s="189"/>
      <c r="C39" s="193" t="s">
        <v>349</v>
      </c>
      <c r="D39" s="194"/>
      <c r="E39" s="194" t="s">
        <v>525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9">
      <c r="B40" s="189"/>
      <c r="C40" s="193"/>
      <c r="D40" s="194"/>
      <c r="E40" s="194" t="s">
        <v>526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9">
      <c r="B41" s="189"/>
      <c r="C41" s="193"/>
      <c r="D41" s="194"/>
      <c r="E41" s="194" t="s">
        <v>520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9">
      <c r="B42" s="189"/>
      <c r="C42" s="196"/>
      <c r="D42" s="194"/>
      <c r="E42" s="194" t="s">
        <v>523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9">
      <c r="B43" s="189"/>
      <c r="C43" s="196"/>
      <c r="D43" s="194"/>
      <c r="E43" s="194" t="s">
        <v>524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9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9">
      <c r="B45" s="189"/>
      <c r="C45" s="193" t="s">
        <v>529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9">
      <c r="B46" s="189"/>
      <c r="C46" s="196" t="s">
        <v>530</v>
      </c>
      <c r="D46" s="197" t="s">
        <v>528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9">
      <c r="B47" s="189"/>
      <c r="C47" s="196" t="s">
        <v>348</v>
      </c>
      <c r="D47" s="197" t="s">
        <v>528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9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573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4" t="s">
        <v>537</v>
      </c>
      <c r="D52" s="127"/>
      <c r="E52" s="127"/>
      <c r="F52" s="154">
        <f>F18</f>
        <v>1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514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5"/>
      <c r="X54" s="65"/>
      <c r="Y54" s="65"/>
      <c r="Z54" s="65"/>
      <c r="AA54" s="65"/>
      <c r="AB54" s="65"/>
    </row>
    <row r="55" spans="2:28">
      <c r="B55" s="179"/>
      <c r="C55" s="180" t="s">
        <v>521</v>
      </c>
      <c r="D55" s="150" t="s">
        <v>512</v>
      </c>
      <c r="E55" s="277">
        <f>1-SUMPRODUCT(F53:N53,F55:N55)</f>
        <v>1</v>
      </c>
      <c r="F55" s="277">
        <f>ROUND(F56/$D$56,4)</f>
        <v>1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5"/>
      <c r="X55" s="65"/>
      <c r="Y55" s="65"/>
      <c r="Z55" s="65"/>
      <c r="AA55" s="65"/>
      <c r="AB55" s="65"/>
    </row>
    <row r="56" spans="2:28">
      <c r="B56" s="179"/>
      <c r="C56" s="180" t="s">
        <v>531</v>
      </c>
      <c r="D56" s="182">
        <f>SUMPRODUCT(E56:N56,E53:N53)</f>
        <v>1</v>
      </c>
      <c r="E56" s="278">
        <f>E22</f>
        <v>1</v>
      </c>
      <c r="F56" s="278">
        <f t="shared" ref="F56:N56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5"/>
      <c r="X56" s="65"/>
      <c r="Y56" s="65"/>
      <c r="Z56" s="65"/>
      <c r="AA56" s="65"/>
      <c r="AB56" s="65"/>
    </row>
    <row r="57" spans="2:28">
      <c r="B57" s="179"/>
      <c r="C57" s="183" t="s">
        <v>137</v>
      </c>
      <c r="D57" s="184"/>
      <c r="E57" s="153" t="str">
        <f>E23</f>
        <v>MeteoGroup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1" t="s">
        <v>142</v>
      </c>
      <c r="W57" s="65"/>
      <c r="X57" s="65"/>
      <c r="Y57" s="65"/>
      <c r="Z57" s="65"/>
      <c r="AA57" s="65"/>
      <c r="AB57" s="65"/>
    </row>
    <row r="58" spans="2:28">
      <c r="B58" s="179"/>
      <c r="C58" s="183" t="s">
        <v>516</v>
      </c>
      <c r="D58" s="184"/>
      <c r="E58" s="153" t="str">
        <f>E24</f>
        <v>Freiburg-Ebnet</v>
      </c>
      <c r="F58" s="153" t="str">
        <f t="shared" ref="F58:N58" si="8">F24</f>
        <v>DEF-St.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1" t="s">
        <v>517</v>
      </c>
      <c r="W58" s="65"/>
      <c r="X58" s="65"/>
      <c r="Y58" s="65"/>
      <c r="Z58" s="65"/>
      <c r="AA58" s="65"/>
      <c r="AB58" s="65"/>
    </row>
    <row r="59" spans="2:28">
      <c r="B59" s="179"/>
      <c r="C59" s="183" t="s">
        <v>511</v>
      </c>
      <c r="D59" s="184"/>
      <c r="E59" s="157">
        <f>E25</f>
        <v>10804</v>
      </c>
      <c r="F59" s="157" t="str">
        <f t="shared" ref="F59:N59" si="9">F25</f>
        <v>xxxxx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1" t="s">
        <v>143</v>
      </c>
      <c r="W59" s="65"/>
      <c r="X59" s="65"/>
      <c r="Y59" s="65"/>
      <c r="Z59" s="65"/>
      <c r="AA59" s="65"/>
      <c r="AB59" s="65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1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515</v>
      </c>
      <c r="D62" s="127"/>
      <c r="E62" s="127"/>
      <c r="F62" s="154">
        <v>1</v>
      </c>
    </row>
    <row r="63" spans="2:28" ht="15" customHeight="1">
      <c r="E63" s="174">
        <f>IF(E64&gt;$F$62,0,1)</f>
        <v>1</v>
      </c>
      <c r="F63" s="174">
        <f t="shared" ref="F63:N63" si="11">IF(F64&gt;$F$62,0,1)</f>
        <v>0</v>
      </c>
      <c r="G63" s="174">
        <f t="shared" si="11"/>
        <v>0</v>
      </c>
      <c r="H63" s="174">
        <f t="shared" si="11"/>
        <v>0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522</v>
      </c>
      <c r="D65" s="182" t="s">
        <v>254</v>
      </c>
      <c r="E65" s="277">
        <f>1-SUMPRODUCT(F63:N63,F65:N65)</f>
        <v>1</v>
      </c>
      <c r="F65" s="277">
        <f>ROUND(F66/$D$66,4)</f>
        <v>0.38500000000000001</v>
      </c>
      <c r="G65" s="277">
        <f t="shared" ref="G65:N65" si="12">ROUND(G66/$D$66,4)</f>
        <v>0.1925</v>
      </c>
      <c r="H65" s="277">
        <f t="shared" si="12"/>
        <v>9.6299999999999997E-2</v>
      </c>
      <c r="I65" s="277">
        <f t="shared" si="12"/>
        <v>0.43130000000000002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527</v>
      </c>
      <c r="D66" s="182">
        <f>SUMPRODUCT(E66:N66,E63:N63)</f>
        <v>1</v>
      </c>
      <c r="E66" s="285">
        <f>E22</f>
        <v>1</v>
      </c>
      <c r="F66" s="285">
        <f t="shared" ref="F66:N66" si="13">F32</f>
        <v>0.38500000000000001</v>
      </c>
      <c r="G66" s="285">
        <f t="shared" si="13"/>
        <v>0.1925</v>
      </c>
      <c r="H66" s="285">
        <f t="shared" si="13"/>
        <v>9.6250000000000002E-2</v>
      </c>
      <c r="I66" s="285">
        <f t="shared" si="13"/>
        <v>0.43125000000000002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 t="str">
        <f t="shared" si="14"/>
        <v>2009 - 2019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 t="str">
        <f t="shared" si="15"/>
        <v>Gastag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1" t="s">
        <v>142</v>
      </c>
    </row>
    <row r="69" spans="2:15">
      <c r="B69" s="179"/>
      <c r="C69" s="183" t="s">
        <v>599</v>
      </c>
      <c r="D69" s="150" t="s">
        <v>600</v>
      </c>
      <c r="E69" s="156" t="str">
        <f>E35</f>
        <v>UCT</v>
      </c>
      <c r="F69" s="156" t="str">
        <f t="shared" ref="F69:N69" si="16">F35</f>
        <v>UCT</v>
      </c>
      <c r="G69" s="156" t="str">
        <f t="shared" si="16"/>
        <v>UCT</v>
      </c>
      <c r="H69" s="156" t="str">
        <f t="shared" si="16"/>
        <v>UCT</v>
      </c>
      <c r="I69" s="159" t="str">
        <f t="shared" si="16"/>
        <v>UCT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1" t="s">
        <v>142</v>
      </c>
    </row>
    <row r="70" spans="2:15">
      <c r="B70" s="179"/>
      <c r="C70" s="188" t="s">
        <v>443</v>
      </c>
      <c r="D70" s="116" t="s">
        <v>532</v>
      </c>
      <c r="E70" s="160" t="s">
        <v>453</v>
      </c>
      <c r="F70" s="160" t="s">
        <v>453</v>
      </c>
      <c r="G70" s="160" t="str">
        <f t="shared" ref="G70:N70" si="17">G36</f>
        <v>Temp.-IST</v>
      </c>
      <c r="H70" s="160" t="str">
        <f t="shared" si="17"/>
        <v>Temp.-IST</v>
      </c>
      <c r="I70" s="160" t="str">
        <f t="shared" si="17"/>
        <v>Temp. hist. Ø (Monat)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1" t="s">
        <v>142</v>
      </c>
    </row>
    <row r="71" spans="2:15"/>
    <row r="72" spans="2:15" ht="15.75" customHeight="1">
      <c r="C72" s="376" t="s">
        <v>574</v>
      </c>
      <c r="D72" s="376"/>
      <c r="E72" s="376"/>
      <c r="F72" s="37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4" priority="33">
      <formula>IF(E$20&lt;=$F$18,1,0)</formula>
    </cfRule>
  </conditionalFormatting>
  <conditionalFormatting sqref="E33:H36 J32:N36">
    <cfRule type="expression" dxfId="33" priority="32">
      <formula>IF(E$30&lt;=$F$28,1,0)</formula>
    </cfRule>
  </conditionalFormatting>
  <conditionalFormatting sqref="E26:F26">
    <cfRule type="expression" dxfId="32" priority="31">
      <formula>IF(E$20&lt;=$F$18,1,0)</formula>
    </cfRule>
  </conditionalFormatting>
  <conditionalFormatting sqref="E26:N26">
    <cfRule type="expression" dxfId="31" priority="30">
      <formula>IF(E$20&lt;=$F$18,1,0)</formula>
    </cfRule>
  </conditionalFormatting>
  <conditionalFormatting sqref="E56:N59">
    <cfRule type="expression" dxfId="30" priority="27">
      <formula>IF(E$54&lt;=$F$52,1,0)</formula>
    </cfRule>
  </conditionalFormatting>
  <conditionalFormatting sqref="E60:N60">
    <cfRule type="expression" dxfId="29" priority="26">
      <formula>IF(E$54&lt;=$F$52,1,0)</formula>
    </cfRule>
  </conditionalFormatting>
  <conditionalFormatting sqref="E66:N68">
    <cfRule type="expression" dxfId="28" priority="20">
      <formula>IF(E$64&lt;=$F$62,1,0)</formula>
    </cfRule>
  </conditionalFormatting>
  <conditionalFormatting sqref="E65:N68 E70:N70">
    <cfRule type="expression" dxfId="27" priority="18">
      <formula>IF(E$64&gt;$F$62,1,0)</formula>
    </cfRule>
  </conditionalFormatting>
  <conditionalFormatting sqref="E56:N60">
    <cfRule type="expression" dxfId="26" priority="17">
      <formula>IF(E$54&gt;$F$52,1,0)</formula>
    </cfRule>
  </conditionalFormatting>
  <conditionalFormatting sqref="E21:N26">
    <cfRule type="expression" dxfId="25" priority="16">
      <formula>IF(E$20&gt;$F$18,1,0)</formula>
    </cfRule>
  </conditionalFormatting>
  <conditionalFormatting sqref="E33:H36 J32:N36">
    <cfRule type="expression" dxfId="24" priority="15">
      <formula>IF(E$30&gt;$F$28,1,0)</formula>
    </cfRule>
  </conditionalFormatting>
  <conditionalFormatting sqref="H11 H8:H9">
    <cfRule type="expression" dxfId="23" priority="14">
      <formula>IF($F$9=1,1,0)</formula>
    </cfRule>
  </conditionalFormatting>
  <conditionalFormatting sqref="E55:N55">
    <cfRule type="expression" dxfId="22" priority="13">
      <formula>IF(E$54&gt;$F$52,1,0)</formula>
    </cfRule>
  </conditionalFormatting>
  <conditionalFormatting sqref="E31:H31 J31:N31">
    <cfRule type="expression" dxfId="21" priority="12">
      <formula>IF(E$30&gt;$F$28,1,0)</formula>
    </cfRule>
  </conditionalFormatting>
  <conditionalFormatting sqref="E70:N70">
    <cfRule type="expression" dxfId="20" priority="11">
      <formula>IF(E$64&lt;=$F$62,1,0)</formula>
    </cfRule>
  </conditionalFormatting>
  <conditionalFormatting sqref="H10">
    <cfRule type="expression" dxfId="19" priority="10">
      <formula>IF($F$9=1,1,0)</formula>
    </cfRule>
  </conditionalFormatting>
  <conditionalFormatting sqref="E69:N69">
    <cfRule type="expression" dxfId="18" priority="7">
      <formula>IF(E$64&lt;=$F$62,1,0)</formula>
    </cfRule>
  </conditionalFormatting>
  <conditionalFormatting sqref="E69:N69">
    <cfRule type="expression" dxfId="17" priority="6">
      <formula>IF(E$64&gt;$F$62,1,0)</formula>
    </cfRule>
  </conditionalFormatting>
  <conditionalFormatting sqref="I33:I36">
    <cfRule type="expression" dxfId="16" priority="5">
      <formula>IF(I$30&lt;=$F$28,1,0)</formula>
    </cfRule>
  </conditionalFormatting>
  <conditionalFormatting sqref="I33:I36">
    <cfRule type="expression" dxfId="15" priority="4">
      <formula>IF(I$30&gt;$F$28,1,0)</formula>
    </cfRule>
  </conditionalFormatting>
  <conditionalFormatting sqref="I31">
    <cfRule type="expression" dxfId="14" priority="3">
      <formula>IF(I$30&gt;$F$28,1,0)</formula>
    </cfRule>
  </conditionalFormatting>
  <conditionalFormatting sqref="E32:I32">
    <cfRule type="expression" dxfId="13" priority="2">
      <formula>IF(E$30&lt;=$F$28,1,0)</formula>
    </cfRule>
  </conditionalFormatting>
  <conditionalFormatting sqref="E32:I32">
    <cfRule type="expression" dxfId="12" priority="1">
      <formula>IF(E$30&gt;$F$28,1,0)</formula>
    </cfRule>
  </conditionalFormatting>
  <dataValidations count="15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70:N70 E36:H36 J36:N36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67:N67 E33:H33 J33:N33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I36">
      <formula1>$R$36:$T$36</formula1>
    </dataValidation>
    <dataValidation type="list" errorStyle="warning" allowBlank="1" showInputMessage="1" showErrorMessage="1" errorTitle="Prognosezeitraum" error="Werte zwischen 0 - 240h" sqref="I33">
      <formula1>$R$33:$AC$33</formula1>
    </dataValidation>
  </dataValidations>
  <pageMargins left="0.25" right="0.25" top="0.75" bottom="0.75" header="0.3" footer="0.3"/>
  <pageSetup paperSize="9" scale="43" orientation="landscape" r:id="rId1"/>
  <ignoredErrors>
    <ignoredError sqref="E67:N68 E36:H36 E26:N26 E56:N60 E22:F22 I22:N22 F52 G24:N24 G70:N70 J32:N32 E69:N69 F25:N25 J36:N36 E34:H34 E33:H33 J33:N33 J34:N34 F66:N6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25" sqref="B25:B41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364</v>
      </c>
    </row>
    <row r="3" spans="2:26">
      <c r="B3" s="127" t="s">
        <v>465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1" t="s">
        <v>369</v>
      </c>
      <c r="D5" s="52" t="str">
        <f>Netzbetreiber!$D$9</f>
        <v>Energie- und Wasserversorgung Kirchzarten GmbH</v>
      </c>
      <c r="E5" s="127"/>
      <c r="J5" s="86" t="s">
        <v>496</v>
      </c>
      <c r="K5" s="128" t="s">
        <v>498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1" t="s">
        <v>337</v>
      </c>
      <c r="D6" s="52" t="str">
        <f>Netzbetreiber!$D$28</f>
        <v>EWK</v>
      </c>
      <c r="E6" s="127"/>
      <c r="F6" s="127"/>
      <c r="K6" s="128" t="s">
        <v>505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3" t="s">
        <v>486</v>
      </c>
      <c r="D7" s="52" t="str">
        <f>Netzbetreiber!$D$11</f>
        <v>9870103600002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1" t="s">
        <v>133</v>
      </c>
      <c r="D8" s="50">
        <f>Netzbetreiber!$D$6</f>
        <v>42644</v>
      </c>
      <c r="E8" s="127"/>
      <c r="F8" s="127"/>
      <c r="H8" s="125" t="s">
        <v>494</v>
      </c>
      <c r="J8" s="129">
        <f>COUNTA(D12:D100)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493</v>
      </c>
      <c r="D10" s="131" t="s">
        <v>147</v>
      </c>
      <c r="E10" s="270" t="s">
        <v>507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629</v>
      </c>
      <c r="M10" s="147" t="s">
        <v>638</v>
      </c>
      <c r="N10" s="148" t="s">
        <v>639</v>
      </c>
      <c r="O10" s="148" t="s">
        <v>640</v>
      </c>
      <c r="P10" s="149" t="s">
        <v>641</v>
      </c>
      <c r="Q10" s="143" t="s">
        <v>630</v>
      </c>
      <c r="R10" s="133" t="s">
        <v>631</v>
      </c>
      <c r="S10" s="134" t="s">
        <v>632</v>
      </c>
      <c r="T10" s="134" t="s">
        <v>633</v>
      </c>
      <c r="U10" s="134" t="s">
        <v>634</v>
      </c>
      <c r="V10" s="134" t="s">
        <v>635</v>
      </c>
      <c r="W10" s="134" t="s">
        <v>636</v>
      </c>
      <c r="X10" s="135" t="s">
        <v>637</v>
      </c>
      <c r="Y10" s="291" t="s">
        <v>642</v>
      </c>
    </row>
    <row r="11" spans="2:26" ht="15.75" thickBot="1">
      <c r="B11" s="136" t="s">
        <v>495</v>
      </c>
      <c r="C11" s="137" t="s">
        <v>506</v>
      </c>
      <c r="D11" s="290" t="s">
        <v>247</v>
      </c>
      <c r="E11" s="161" t="s">
        <v>577</v>
      </c>
      <c r="F11" s="292" t="str">
        <f>VLOOKUP($E11,'BDEW-Standard'!$B$3:$M$158,F$9,0)</f>
        <v>D23</v>
      </c>
      <c r="H11" s="164">
        <f>ROUND(VLOOKUP($E11,'BDEW-Standard'!$B$3:$M$158,H$9,0),7)</f>
        <v>2.3877617999999998</v>
      </c>
      <c r="I11" s="164">
        <f>ROUND(VLOOKUP($E11,'BDEW-Standard'!$B$3:$M$158,I$9,0),7)</f>
        <v>-34.721360500000003</v>
      </c>
      <c r="J11" s="164">
        <f>ROUND(VLOOKUP($E11,'BDEW-Standard'!$B$3:$M$158,J$9,0),7)</f>
        <v>5.8164303999999998</v>
      </c>
      <c r="K11" s="164">
        <f>ROUND(VLOOKUP($E11,'BDEW-Standard'!$B$3:$M$158,K$9,0),7)</f>
        <v>0.12081939999999999</v>
      </c>
      <c r="L11" s="331">
        <f>ROUND(VLOOKUP($E11,'BDEW-Standard'!$B$3:$M$158,L$9,0),1)</f>
        <v>40</v>
      </c>
      <c r="M11" s="164">
        <f>ROUND(VLOOKUP($E11,'BDEW-Standard'!$B$3:$M$158,M$9,0),7)</f>
        <v>0</v>
      </c>
      <c r="N11" s="164">
        <f>ROUND(VLOOKUP($E11,'BDEW-Standard'!$B$3:$M$158,N$9,0),7)</f>
        <v>0</v>
      </c>
      <c r="O11" s="164">
        <f>ROUND(VLOOKUP($E11,'BDEW-Standard'!$B$3:$M$158,O$9,0),7)</f>
        <v>0</v>
      </c>
      <c r="P11" s="164">
        <f>ROUND(VLOOKUP($E11,'BDEW-Standard'!$B$3:$M$158,P$9,0),7)</f>
        <v>0</v>
      </c>
      <c r="Q11" s="332">
        <f>($H11/(1+($I11/($Q$9-$L11))^$J11)+$K11)+MAX($M11*$Q$9+$N11,$O11*$Q$9+$P11)</f>
        <v>1.0365184142102302</v>
      </c>
      <c r="R11" s="165">
        <f>ROUND(VLOOKUP(MID($E11,4,3),'Wochentag F(WT)'!$B$7:$J$22,R$9,0),4)</f>
        <v>1</v>
      </c>
      <c r="S11" s="165">
        <f>ROUND(VLOOKUP(MID($E11,4,3),'Wochentag F(WT)'!$B$7:$J$22,S$9,0),4)</f>
        <v>1</v>
      </c>
      <c r="T11" s="165">
        <f>ROUND(VLOOKUP(MID($E11,4,3),'Wochentag F(WT)'!$B$7:$J$22,T$9,0),4)</f>
        <v>1</v>
      </c>
      <c r="U11" s="165">
        <f>ROUND(VLOOKUP(MID($E11,4,3),'Wochentag F(WT)'!$B$7:$J$22,U$9,0),4)</f>
        <v>1</v>
      </c>
      <c r="V11" s="165">
        <f>ROUND(VLOOKUP(MID($E11,4,3),'Wochentag F(WT)'!$B$7:$J$22,V$9,0),4)</f>
        <v>1</v>
      </c>
      <c r="W11" s="165">
        <f>ROUND(VLOOKUP(MID($E11,4,3),'Wochentag F(WT)'!$B$7:$J$22,W$9,0),4)</f>
        <v>1</v>
      </c>
      <c r="X11" s="166">
        <f>7-SUM(R11:W11)</f>
        <v>1</v>
      </c>
      <c r="Y11" s="288">
        <v>365.12299999999999</v>
      </c>
    </row>
    <row r="12" spans="2:26">
      <c r="B12" s="138">
        <v>1</v>
      </c>
      <c r="C12" s="139" t="str">
        <f t="shared" ref="C12:C24" si="0">$D$6</f>
        <v>EWK</v>
      </c>
      <c r="D12" s="60" t="s">
        <v>247</v>
      </c>
      <c r="E12" s="162" t="s">
        <v>657</v>
      </c>
      <c r="F12" s="293" t="str">
        <f>VLOOKUP($E12,'BDEW-Standard'!$B$3:$M$158,F$9,0)</f>
        <v>1D3</v>
      </c>
      <c r="H12" s="271">
        <f>ROUND(VLOOKUP($E12,'BDEW-Standard'!$B$3:$M$158,H$9,0),7)</f>
        <v>1.6209544</v>
      </c>
      <c r="I12" s="271">
        <f>ROUND(VLOOKUP($E12,'BDEW-Standard'!$B$3:$M$158,I$9,0),7)</f>
        <v>-37.183314099999997</v>
      </c>
      <c r="J12" s="271">
        <f>ROUND(VLOOKUP($E12,'BDEW-Standard'!$B$3:$M$158,J$9,0),7)</f>
        <v>5.6727847000000002</v>
      </c>
      <c r="K12" s="271">
        <f>ROUND(VLOOKUP($E12,'BDEW-Standard'!$B$3:$M$158,K$9,0),7)</f>
        <v>7.1643100000000001E-2</v>
      </c>
      <c r="L12" s="333">
        <f>ROUND(VLOOKUP($E12,'BDEW-Standard'!$B$3:$M$158,L$9,0),1)</f>
        <v>40</v>
      </c>
      <c r="M12" s="271">
        <f>ROUND(VLOOKUP($E12,'BDEW-Standard'!$B$3:$M$158,M$9,0),7)</f>
        <v>-4.9570000000000003E-2</v>
      </c>
      <c r="N12" s="271">
        <f>ROUND(VLOOKUP($E12,'BDEW-Standard'!$B$3:$M$158,N$9,0),7)</f>
        <v>0.84010149999999995</v>
      </c>
      <c r="O12" s="271">
        <f>ROUND(VLOOKUP($E12,'BDEW-Standard'!$B$3:$M$158,O$9,0),7)</f>
        <v>-2.209E-3</v>
      </c>
      <c r="P12" s="271">
        <f>ROUND(VLOOKUP($E12,'BDEW-Standard'!$B$3:$M$158,P$9,0),7)</f>
        <v>0.1074468</v>
      </c>
      <c r="Q12" s="334">
        <f t="shared" ref="Q12:Q24" si="1">($H12/(1+($I12/($Q$9-$L12))^$J12)+$K12)+MAX($M12*$Q$9+$N12,$O12*$Q$9+$P12)</f>
        <v>1.0000001417752751</v>
      </c>
      <c r="R12" s="272">
        <f>ROUND(VLOOKUP(MID($E12,4,3),'Wochentag F(WT)'!$B$7:$J$22,R$9,0),4)</f>
        <v>1</v>
      </c>
      <c r="S12" s="272">
        <f>ROUND(VLOOKUP(MID($E12,4,3),'Wochentag F(WT)'!$B$7:$J$22,S$9,0),4)</f>
        <v>1</v>
      </c>
      <c r="T12" s="272">
        <f>ROUND(VLOOKUP(MID($E12,4,3),'Wochentag F(WT)'!$B$7:$J$22,T$9,0),4)</f>
        <v>1</v>
      </c>
      <c r="U12" s="272">
        <f>ROUND(VLOOKUP(MID($E12,4,3),'Wochentag F(WT)'!$B$7:$J$22,U$9,0),4)</f>
        <v>1</v>
      </c>
      <c r="V12" s="272">
        <f>ROUND(VLOOKUP(MID($E12,4,3),'Wochentag F(WT)'!$B$7:$J$22,V$9,0),4)</f>
        <v>1</v>
      </c>
      <c r="W12" s="272">
        <f>ROUND(VLOOKUP(MID($E12,4,3),'Wochentag F(WT)'!$B$7:$J$22,W$9,0),4)</f>
        <v>1</v>
      </c>
      <c r="X12" s="273">
        <f>7-SUM(R12:W12)</f>
        <v>1</v>
      </c>
      <c r="Y12" s="289">
        <v>350</v>
      </c>
      <c r="Z12" s="208"/>
    </row>
    <row r="13" spans="2:26" s="140" customFormat="1">
      <c r="B13" s="141">
        <v>2</v>
      </c>
      <c r="C13" s="142" t="str">
        <f t="shared" si="0"/>
        <v>EWK</v>
      </c>
      <c r="D13" s="60" t="s">
        <v>247</v>
      </c>
      <c r="E13" s="162" t="s">
        <v>658</v>
      </c>
      <c r="F13" s="293" t="str">
        <f>VLOOKUP($E13,'BDEW-Standard'!$B$3:$M$158,F$9,0)</f>
        <v>2D3</v>
      </c>
      <c r="H13" s="271">
        <f>ROUND(VLOOKUP($E13,'BDEW-Standard'!$B$3:$M$158,H$9,0),7)</f>
        <v>1.2328654999999999</v>
      </c>
      <c r="I13" s="271">
        <f>ROUND(VLOOKUP($E13,'BDEW-Standard'!$B$3:$M$158,I$9,0),7)</f>
        <v>-34.721360500000003</v>
      </c>
      <c r="J13" s="271">
        <f>ROUND(VLOOKUP($E13,'BDEW-Standard'!$B$3:$M$158,J$9,0),7)</f>
        <v>5.8164303999999998</v>
      </c>
      <c r="K13" s="271">
        <f>ROUND(VLOOKUP($E13,'BDEW-Standard'!$B$3:$M$158,K$9,0),7)</f>
        <v>8.7335200000000002E-2</v>
      </c>
      <c r="L13" s="333">
        <f>ROUND(VLOOKUP($E13,'BDEW-Standard'!$B$3:$M$158,L$9,0),1)</f>
        <v>40</v>
      </c>
      <c r="M13" s="271">
        <f>ROUND(VLOOKUP($E13,'BDEW-Standard'!$B$3:$M$158,M$9,0),7)</f>
        <v>-4.0928399999999997E-2</v>
      </c>
      <c r="N13" s="271">
        <f>ROUND(VLOOKUP($E13,'BDEW-Standard'!$B$3:$M$158,N$9,0),7)</f>
        <v>0.76729199999999997</v>
      </c>
      <c r="O13" s="271">
        <f>ROUND(VLOOKUP($E13,'BDEW-Standard'!$B$3:$M$158,O$9,0),7)</f>
        <v>-2.232E-3</v>
      </c>
      <c r="P13" s="271">
        <f>ROUND(VLOOKUP($E13,'BDEW-Standard'!$B$3:$M$158,P$9,0),7)</f>
        <v>0.11992070000000001</v>
      </c>
      <c r="Q13" s="334">
        <f t="shared" si="1"/>
        <v>0.99999997653191475</v>
      </c>
      <c r="R13" s="272">
        <f>ROUND(VLOOKUP(MID($E13,4,3),'Wochentag F(WT)'!$B$7:$J$22,R$9,0),4)</f>
        <v>1</v>
      </c>
      <c r="S13" s="272">
        <f>ROUND(VLOOKUP(MID($E13,4,3),'Wochentag F(WT)'!$B$7:$J$22,S$9,0),4)</f>
        <v>1</v>
      </c>
      <c r="T13" s="272">
        <f>ROUND(VLOOKUP(MID($E13,4,3),'Wochentag F(WT)'!$B$7:$J$22,T$9,0),4)</f>
        <v>1</v>
      </c>
      <c r="U13" s="272">
        <f>ROUND(VLOOKUP(MID($E13,4,3),'Wochentag F(WT)'!$B$7:$J$22,U$9,0),4)</f>
        <v>1</v>
      </c>
      <c r="V13" s="272">
        <f>ROUND(VLOOKUP(MID($E13,4,3),'Wochentag F(WT)'!$B$7:$J$22,V$9,0),4)</f>
        <v>1</v>
      </c>
      <c r="W13" s="272">
        <f>ROUND(VLOOKUP(MID($E13,4,3),'Wochentag F(WT)'!$B$7:$J$22,W$9,0),4)</f>
        <v>1</v>
      </c>
      <c r="X13" s="273">
        <f t="shared" ref="X13:X24" si="2">7-SUM(R13:W13)</f>
        <v>1</v>
      </c>
      <c r="Y13" s="289">
        <v>350</v>
      </c>
      <c r="Z13" s="208"/>
    </row>
    <row r="14" spans="2:26" s="140" customFormat="1">
      <c r="B14" s="141">
        <v>3</v>
      </c>
      <c r="C14" s="142" t="str">
        <f t="shared" si="0"/>
        <v>EWK</v>
      </c>
      <c r="D14" s="60" t="s">
        <v>247</v>
      </c>
      <c r="E14" s="162" t="s">
        <v>659</v>
      </c>
      <c r="F14" s="293" t="str">
        <f>VLOOKUP($E14,'BDEW-Standard'!$B$3:$M$158,F$9,0)</f>
        <v>KM3</v>
      </c>
      <c r="H14" s="271">
        <f>ROUND(VLOOKUP($E14,'BDEW-Standard'!$B$3:$M$158,H$9,0),7)</f>
        <v>1.4202418999999999</v>
      </c>
      <c r="I14" s="271">
        <f>ROUND(VLOOKUP($E14,'BDEW-Standard'!$B$3:$M$158,I$9,0),7)</f>
        <v>-34.880612999999997</v>
      </c>
      <c r="J14" s="271">
        <f>ROUND(VLOOKUP($E14,'BDEW-Standard'!$B$3:$M$158,J$9,0),7)</f>
        <v>6.5951899000000003</v>
      </c>
      <c r="K14" s="271">
        <f>ROUND(VLOOKUP($E14,'BDEW-Standard'!$B$3:$M$158,K$9,0),7)</f>
        <v>3.8531700000000002E-2</v>
      </c>
      <c r="L14" s="333">
        <f>ROUND(VLOOKUP($E14,'BDEW-Standard'!$B$3:$M$158,L$9,0),1)</f>
        <v>40</v>
      </c>
      <c r="M14" s="271">
        <f>ROUND(VLOOKUP($E14,'BDEW-Standard'!$B$3:$M$158,M$9,0),7)</f>
        <v>-5.2108399999999999E-2</v>
      </c>
      <c r="N14" s="271">
        <f>ROUND(VLOOKUP($E14,'BDEW-Standard'!$B$3:$M$158,N$9,0),7)</f>
        <v>0.86479189999999995</v>
      </c>
      <c r="O14" s="271">
        <f>ROUND(VLOOKUP($E14,'BDEW-Standard'!$B$3:$M$158,O$9,0),7)</f>
        <v>-1.4369000000000001E-3</v>
      </c>
      <c r="P14" s="271">
        <f>ROUND(VLOOKUP($E14,'BDEW-Standard'!$B$3:$M$158,P$9,0),7)</f>
        <v>6.3760200000000003E-2</v>
      </c>
      <c r="Q14" s="334">
        <f t="shared" si="1"/>
        <v>1.0000002125085892</v>
      </c>
      <c r="R14" s="272">
        <f>ROUND(VLOOKUP(MID($E14,4,3),'Wochentag F(WT)'!$B$7:$J$22,R$9,0),4)</f>
        <v>1.0699000000000001</v>
      </c>
      <c r="S14" s="272">
        <f>ROUND(VLOOKUP(MID($E14,4,3),'Wochentag F(WT)'!$B$7:$J$22,S$9,0),4)</f>
        <v>1.0365</v>
      </c>
      <c r="T14" s="272">
        <f>ROUND(VLOOKUP(MID($E14,4,3),'Wochentag F(WT)'!$B$7:$J$22,T$9,0),4)</f>
        <v>0.99329999999999996</v>
      </c>
      <c r="U14" s="272">
        <f>ROUND(VLOOKUP(MID($E14,4,3),'Wochentag F(WT)'!$B$7:$J$22,U$9,0),4)</f>
        <v>0.99480000000000002</v>
      </c>
      <c r="V14" s="272">
        <f>ROUND(VLOOKUP(MID($E14,4,3),'Wochentag F(WT)'!$B$7:$J$22,V$9,0),4)</f>
        <v>1.0659000000000001</v>
      </c>
      <c r="W14" s="272">
        <f>ROUND(VLOOKUP(MID($E14,4,3),'Wochentag F(WT)'!$B$7:$J$22,W$9,0),4)</f>
        <v>0.93620000000000003</v>
      </c>
      <c r="X14" s="273">
        <f t="shared" si="2"/>
        <v>0.90339999999999954</v>
      </c>
      <c r="Y14" s="289">
        <v>350</v>
      </c>
      <c r="Z14" s="208"/>
    </row>
    <row r="15" spans="2:26" s="140" customFormat="1">
      <c r="B15" s="141">
        <v>4</v>
      </c>
      <c r="C15" s="142" t="str">
        <f t="shared" si="0"/>
        <v>EWK</v>
      </c>
      <c r="D15" s="60" t="s">
        <v>247</v>
      </c>
      <c r="E15" s="162" t="s">
        <v>660</v>
      </c>
      <c r="F15" s="293" t="str">
        <f>VLOOKUP($E15,'BDEW-Standard'!$B$3:$M$158,F$9,0)</f>
        <v>OK3</v>
      </c>
      <c r="H15" s="271">
        <f>ROUND(VLOOKUP($E15,'BDEW-Standard'!$B$3:$M$158,H$9,0),7)</f>
        <v>1.3554515</v>
      </c>
      <c r="I15" s="271">
        <f>ROUND(VLOOKUP($E15,'BDEW-Standard'!$B$3:$M$158,I$9,0),7)</f>
        <v>-35.141256300000002</v>
      </c>
      <c r="J15" s="271">
        <f>ROUND(VLOOKUP($E15,'BDEW-Standard'!$B$3:$M$158,J$9,0),7)</f>
        <v>7.1303394999999998</v>
      </c>
      <c r="K15" s="271">
        <f>ROUND(VLOOKUP($E15,'BDEW-Standard'!$B$3:$M$158,K$9,0),7)</f>
        <v>9.9061899999999994E-2</v>
      </c>
      <c r="L15" s="333">
        <f>ROUND(VLOOKUP($E15,'BDEW-Standard'!$B$3:$M$158,L$9,0),1)</f>
        <v>40</v>
      </c>
      <c r="M15" s="271">
        <f>ROUND(VLOOKUP($E15,'BDEW-Standard'!$B$3:$M$158,M$9,0),7)</f>
        <v>-5.26487E-2</v>
      </c>
      <c r="N15" s="271">
        <f>ROUND(VLOOKUP($E15,'BDEW-Standard'!$B$3:$M$158,N$9,0),7)</f>
        <v>0.86260859999999995</v>
      </c>
      <c r="O15" s="271">
        <f>ROUND(VLOOKUP($E15,'BDEW-Standard'!$B$3:$M$158,O$9,0),7)</f>
        <v>-8.8080000000000005E-4</v>
      </c>
      <c r="P15" s="271">
        <f>ROUND(VLOOKUP($E15,'BDEW-Standard'!$B$3:$M$158,P$9,0),7)</f>
        <v>9.6401399999999998E-2</v>
      </c>
      <c r="Q15" s="334">
        <f t="shared" si="1"/>
        <v>0.99999998782262245</v>
      </c>
      <c r="R15" s="272">
        <f>ROUND(VLOOKUP(MID($E15,4,3),'Wochentag F(WT)'!$B$7:$J$22,R$9,0),4)</f>
        <v>1.0354000000000001</v>
      </c>
      <c r="S15" s="272">
        <f>ROUND(VLOOKUP(MID($E15,4,3),'Wochentag F(WT)'!$B$7:$J$22,S$9,0),4)</f>
        <v>1.0523</v>
      </c>
      <c r="T15" s="272">
        <f>ROUND(VLOOKUP(MID($E15,4,3),'Wochentag F(WT)'!$B$7:$J$22,T$9,0),4)</f>
        <v>1.0448999999999999</v>
      </c>
      <c r="U15" s="272">
        <f>ROUND(VLOOKUP(MID($E15,4,3),'Wochentag F(WT)'!$B$7:$J$22,U$9,0),4)</f>
        <v>1.0494000000000001</v>
      </c>
      <c r="V15" s="272">
        <f>ROUND(VLOOKUP(MID($E15,4,3),'Wochentag F(WT)'!$B$7:$J$22,V$9,0),4)</f>
        <v>0.98850000000000005</v>
      </c>
      <c r="W15" s="272">
        <f>ROUND(VLOOKUP(MID($E15,4,3),'Wochentag F(WT)'!$B$7:$J$22,W$9,0),4)</f>
        <v>0.88600000000000001</v>
      </c>
      <c r="X15" s="273">
        <f t="shared" si="2"/>
        <v>0.94349999999999934</v>
      </c>
      <c r="Y15" s="289">
        <v>350</v>
      </c>
      <c r="Z15" s="208"/>
    </row>
    <row r="16" spans="2:26" s="140" customFormat="1">
      <c r="B16" s="141">
        <v>5</v>
      </c>
      <c r="C16" s="142" t="str">
        <f t="shared" si="0"/>
        <v>EWK</v>
      </c>
      <c r="D16" s="60" t="s">
        <v>247</v>
      </c>
      <c r="E16" s="162" t="s">
        <v>661</v>
      </c>
      <c r="F16" s="293" t="str">
        <f>VLOOKUP($E16,'BDEW-Standard'!$B$3:$M$158,F$9,0)</f>
        <v>AH3</v>
      </c>
      <c r="H16" s="271">
        <f>ROUND(VLOOKUP($E16,'BDEW-Standard'!$B$3:$M$158,H$9,0),7)</f>
        <v>1.9724775000000001</v>
      </c>
      <c r="I16" s="271">
        <f>ROUND(VLOOKUP($E16,'BDEW-Standard'!$B$3:$M$158,I$9,0),7)</f>
        <v>-36.965006500000001</v>
      </c>
      <c r="J16" s="271">
        <f>ROUND(VLOOKUP($E16,'BDEW-Standard'!$B$3:$M$158,J$9,0),7)</f>
        <v>7.2256947</v>
      </c>
      <c r="K16" s="271">
        <f>ROUND(VLOOKUP($E16,'BDEW-Standard'!$B$3:$M$158,K$9,0),7)</f>
        <v>3.4578200000000003E-2</v>
      </c>
      <c r="L16" s="333">
        <f>ROUND(VLOOKUP($E16,'BDEW-Standard'!$B$3:$M$158,L$9,0),1)</f>
        <v>40</v>
      </c>
      <c r="M16" s="271">
        <f>ROUND(VLOOKUP($E16,'BDEW-Standard'!$B$3:$M$158,M$9,0),7)</f>
        <v>-7.4217400000000003E-2</v>
      </c>
      <c r="N16" s="271">
        <f>ROUND(VLOOKUP($E16,'BDEW-Standard'!$B$3:$M$158,N$9,0),7)</f>
        <v>1.0448869000000001</v>
      </c>
      <c r="O16" s="271">
        <f>ROUND(VLOOKUP($E16,'BDEW-Standard'!$B$3:$M$158,O$9,0),7)</f>
        <v>-8.2950000000000005E-4</v>
      </c>
      <c r="P16" s="271">
        <f>ROUND(VLOOKUP($E16,'BDEW-Standard'!$B$3:$M$158,P$9,0),7)</f>
        <v>4.6179499999999998E-2</v>
      </c>
      <c r="Q16" s="334">
        <f t="shared" si="1"/>
        <v>1.0000000832749945</v>
      </c>
      <c r="R16" s="272">
        <f>ROUND(VLOOKUP(MID($E16,4,3),'Wochentag F(WT)'!$B$7:$J$22,R$9,0),4)</f>
        <v>1.0358000000000001</v>
      </c>
      <c r="S16" s="272">
        <f>ROUND(VLOOKUP(MID($E16,4,3),'Wochentag F(WT)'!$B$7:$J$22,S$9,0),4)</f>
        <v>1.0232000000000001</v>
      </c>
      <c r="T16" s="272">
        <f>ROUND(VLOOKUP(MID($E16,4,3),'Wochentag F(WT)'!$B$7:$J$22,T$9,0),4)</f>
        <v>1.0251999999999999</v>
      </c>
      <c r="U16" s="272">
        <f>ROUND(VLOOKUP(MID($E16,4,3),'Wochentag F(WT)'!$B$7:$J$22,U$9,0),4)</f>
        <v>1.0295000000000001</v>
      </c>
      <c r="V16" s="272">
        <f>ROUND(VLOOKUP(MID($E16,4,3),'Wochentag F(WT)'!$B$7:$J$22,V$9,0),4)</f>
        <v>1.0253000000000001</v>
      </c>
      <c r="W16" s="272">
        <f>ROUND(VLOOKUP(MID($E16,4,3),'Wochentag F(WT)'!$B$7:$J$22,W$9,0),4)</f>
        <v>0.96750000000000003</v>
      </c>
      <c r="X16" s="273">
        <f t="shared" si="2"/>
        <v>0.89350000000000041</v>
      </c>
      <c r="Y16" s="289">
        <v>350</v>
      </c>
      <c r="Z16" s="208"/>
    </row>
    <row r="17" spans="2:26" s="140" customFormat="1">
      <c r="B17" s="141">
        <v>6</v>
      </c>
      <c r="C17" s="142" t="str">
        <f t="shared" si="0"/>
        <v>EWK</v>
      </c>
      <c r="D17" s="60" t="s">
        <v>247</v>
      </c>
      <c r="E17" s="162" t="s">
        <v>662</v>
      </c>
      <c r="F17" s="293" t="str">
        <f>VLOOKUP($E17,'BDEW-Standard'!$B$3:$M$158,F$9,0)</f>
        <v>DB3</v>
      </c>
      <c r="H17" s="271">
        <f>ROUND(VLOOKUP($E17,'BDEW-Standard'!$B$3:$M$158,H$9,0),7)</f>
        <v>1.4633681999999999</v>
      </c>
      <c r="I17" s="271">
        <f>ROUND(VLOOKUP($E17,'BDEW-Standard'!$B$3:$M$158,I$9,0),7)</f>
        <v>-36.179411700000003</v>
      </c>
      <c r="J17" s="271">
        <f>ROUND(VLOOKUP($E17,'BDEW-Standard'!$B$3:$M$158,J$9,0),7)</f>
        <v>5.9265162</v>
      </c>
      <c r="K17" s="271">
        <f>ROUND(VLOOKUP($E17,'BDEW-Standard'!$B$3:$M$158,K$9,0),7)</f>
        <v>8.0883499999999997E-2</v>
      </c>
      <c r="L17" s="333">
        <f>ROUND(VLOOKUP($E17,'BDEW-Standard'!$B$3:$M$158,L$9,0),1)</f>
        <v>40</v>
      </c>
      <c r="M17" s="271">
        <f>ROUND(VLOOKUP($E17,'BDEW-Standard'!$B$3:$M$158,M$9,0),7)</f>
        <v>-4.7579999999999997E-2</v>
      </c>
      <c r="N17" s="271">
        <f>ROUND(VLOOKUP($E17,'BDEW-Standard'!$B$3:$M$158,N$9,0),7)</f>
        <v>0.82307540000000001</v>
      </c>
      <c r="O17" s="271">
        <f>ROUND(VLOOKUP($E17,'BDEW-Standard'!$B$3:$M$158,O$9,0),7)</f>
        <v>-1.9273000000000001E-3</v>
      </c>
      <c r="P17" s="271">
        <f>ROUND(VLOOKUP($E17,'BDEW-Standard'!$B$3:$M$158,P$9,0),7)</f>
        <v>0.1077046</v>
      </c>
      <c r="Q17" s="334">
        <f t="shared" si="1"/>
        <v>0.99999993818735389</v>
      </c>
      <c r="R17" s="272">
        <f>ROUND(VLOOKUP(MID($E17,4,3),'Wochentag F(WT)'!$B$7:$J$22,R$9,0),4)</f>
        <v>1.1052</v>
      </c>
      <c r="S17" s="272">
        <f>ROUND(VLOOKUP(MID($E17,4,3),'Wochentag F(WT)'!$B$7:$J$22,S$9,0),4)</f>
        <v>1.0857000000000001</v>
      </c>
      <c r="T17" s="272">
        <f>ROUND(VLOOKUP(MID($E17,4,3),'Wochentag F(WT)'!$B$7:$J$22,T$9,0),4)</f>
        <v>1.0378000000000001</v>
      </c>
      <c r="U17" s="272">
        <f>ROUND(VLOOKUP(MID($E17,4,3),'Wochentag F(WT)'!$B$7:$J$22,U$9,0),4)</f>
        <v>1.0622</v>
      </c>
      <c r="V17" s="272">
        <f>ROUND(VLOOKUP(MID($E17,4,3),'Wochentag F(WT)'!$B$7:$J$22,V$9,0),4)</f>
        <v>1.0266</v>
      </c>
      <c r="W17" s="272">
        <f>ROUND(VLOOKUP(MID($E17,4,3),'Wochentag F(WT)'!$B$7:$J$22,W$9,0),4)</f>
        <v>0.76290000000000002</v>
      </c>
      <c r="X17" s="273">
        <f t="shared" si="2"/>
        <v>0.91959999999999997</v>
      </c>
      <c r="Y17" s="289">
        <v>350</v>
      </c>
      <c r="Z17" s="208"/>
    </row>
    <row r="18" spans="2:26" s="140" customFormat="1">
      <c r="B18" s="141">
        <v>7</v>
      </c>
      <c r="C18" s="142" t="str">
        <f t="shared" si="0"/>
        <v>EWK</v>
      </c>
      <c r="D18" s="60" t="s">
        <v>247</v>
      </c>
      <c r="E18" s="162" t="s">
        <v>663</v>
      </c>
      <c r="F18" s="293" t="str">
        <f>VLOOKUP($E18,'BDEW-Standard'!$B$3:$M$158,F$9,0)</f>
        <v>HB3</v>
      </c>
      <c r="H18" s="271">
        <f>ROUND(VLOOKUP($E18,'BDEW-Standard'!$B$3:$M$158,H$9,0),7)</f>
        <v>0.98742830000000004</v>
      </c>
      <c r="I18" s="271">
        <f>ROUND(VLOOKUP($E18,'BDEW-Standard'!$B$3:$M$158,I$9,0),7)</f>
        <v>-35.253212400000002</v>
      </c>
      <c r="J18" s="271">
        <f>ROUND(VLOOKUP($E18,'BDEW-Standard'!$B$3:$M$158,J$9,0),7)</f>
        <v>6.1544406</v>
      </c>
      <c r="K18" s="271">
        <f>ROUND(VLOOKUP($E18,'BDEW-Standard'!$B$3:$M$158,K$9,0),7)</f>
        <v>0.22657160000000001</v>
      </c>
      <c r="L18" s="333">
        <f>ROUND(VLOOKUP($E18,'BDEW-Standard'!$B$3:$M$158,L$9,0),1)</f>
        <v>40</v>
      </c>
      <c r="M18" s="271">
        <f>ROUND(VLOOKUP($E18,'BDEW-Standard'!$B$3:$M$158,M$9,0),7)</f>
        <v>-3.3902000000000002E-2</v>
      </c>
      <c r="N18" s="271">
        <f>ROUND(VLOOKUP($E18,'BDEW-Standard'!$B$3:$M$158,N$9,0),7)</f>
        <v>0.69382339999999998</v>
      </c>
      <c r="O18" s="271">
        <f>ROUND(VLOOKUP($E18,'BDEW-Standard'!$B$3:$M$158,O$9,0),7)</f>
        <v>-1.2849000000000001E-3</v>
      </c>
      <c r="P18" s="271">
        <f>ROUND(VLOOKUP($E18,'BDEW-Standard'!$B$3:$M$158,P$9,0),7)</f>
        <v>0.20297319999999999</v>
      </c>
      <c r="Q18" s="334">
        <f t="shared" si="1"/>
        <v>0.99999983700977324</v>
      </c>
      <c r="R18" s="272">
        <f>ROUND(VLOOKUP(MID($E18,4,3),'Wochentag F(WT)'!$B$7:$J$22,R$9,0),4)</f>
        <v>0.97670000000000001</v>
      </c>
      <c r="S18" s="272">
        <f>ROUND(VLOOKUP(MID($E18,4,3),'Wochentag F(WT)'!$B$7:$J$22,S$9,0),4)</f>
        <v>1.0388999999999999</v>
      </c>
      <c r="T18" s="272">
        <f>ROUND(VLOOKUP(MID($E18,4,3),'Wochentag F(WT)'!$B$7:$J$22,T$9,0),4)</f>
        <v>1.0027999999999999</v>
      </c>
      <c r="U18" s="272">
        <f>ROUND(VLOOKUP(MID($E18,4,3),'Wochentag F(WT)'!$B$7:$J$22,U$9,0),4)</f>
        <v>1.0162</v>
      </c>
      <c r="V18" s="272">
        <f>ROUND(VLOOKUP(MID($E18,4,3),'Wochentag F(WT)'!$B$7:$J$22,V$9,0),4)</f>
        <v>1.0024</v>
      </c>
      <c r="W18" s="272">
        <f>ROUND(VLOOKUP(MID($E18,4,3),'Wochentag F(WT)'!$B$7:$J$22,W$9,0),4)</f>
        <v>1.0043</v>
      </c>
      <c r="X18" s="273">
        <f t="shared" si="2"/>
        <v>0.95870000000000122</v>
      </c>
      <c r="Y18" s="289">
        <v>350</v>
      </c>
      <c r="Z18" s="208"/>
    </row>
    <row r="19" spans="2:26" s="140" customFormat="1">
      <c r="B19" s="141">
        <v>8</v>
      </c>
      <c r="C19" s="142" t="str">
        <f t="shared" si="0"/>
        <v>EWK</v>
      </c>
      <c r="D19" s="60" t="s">
        <v>247</v>
      </c>
      <c r="E19" s="162" t="s">
        <v>664</v>
      </c>
      <c r="F19" s="293" t="str">
        <f>VLOOKUP($E19,'BDEW-Standard'!$B$3:$M$158,F$9,0)</f>
        <v>AG3</v>
      </c>
      <c r="H19" s="271">
        <f>ROUND(VLOOKUP($E19,'BDEW-Standard'!$B$3:$M$158,H$9,0),7)</f>
        <v>1.1582082</v>
      </c>
      <c r="I19" s="271">
        <f>ROUND(VLOOKUP($E19,'BDEW-Standard'!$B$3:$M$158,I$9,0),7)</f>
        <v>-36.287858399999998</v>
      </c>
      <c r="J19" s="271">
        <f>ROUND(VLOOKUP($E19,'BDEW-Standard'!$B$3:$M$158,J$9,0),7)</f>
        <v>6.5885125999999996</v>
      </c>
      <c r="K19" s="271">
        <f>ROUND(VLOOKUP($E19,'BDEW-Standard'!$B$3:$M$158,K$9,0),7)</f>
        <v>0.22356799999999999</v>
      </c>
      <c r="L19" s="333">
        <f>ROUND(VLOOKUP($E19,'BDEW-Standard'!$B$3:$M$158,L$9,0),1)</f>
        <v>40</v>
      </c>
      <c r="M19" s="271">
        <f>ROUND(VLOOKUP($E19,'BDEW-Standard'!$B$3:$M$158,M$9,0),7)</f>
        <v>-4.1033500000000001E-2</v>
      </c>
      <c r="N19" s="271">
        <f>ROUND(VLOOKUP($E19,'BDEW-Standard'!$B$3:$M$158,N$9,0),7)</f>
        <v>0.75264509999999996</v>
      </c>
      <c r="O19" s="271">
        <f>ROUND(VLOOKUP($E19,'BDEW-Standard'!$B$3:$M$158,O$9,0),7)</f>
        <v>-9.0879999999999997E-4</v>
      </c>
      <c r="P19" s="271">
        <f>ROUND(VLOOKUP($E19,'BDEW-Standard'!$B$3:$M$158,P$9,0),7)</f>
        <v>0.1916641</v>
      </c>
      <c r="Q19" s="334">
        <f t="shared" si="1"/>
        <v>0.99999977999083423</v>
      </c>
      <c r="R19" s="272">
        <f>ROUND(VLOOKUP(MID($E19,4,3),'Wochentag F(WT)'!$B$7:$J$22,R$9,0),4)</f>
        <v>0.93220000000000003</v>
      </c>
      <c r="S19" s="272">
        <f>ROUND(VLOOKUP(MID($E19,4,3),'Wochentag F(WT)'!$B$7:$J$22,S$9,0),4)</f>
        <v>0.98939999999999995</v>
      </c>
      <c r="T19" s="272">
        <f>ROUND(VLOOKUP(MID($E19,4,3),'Wochentag F(WT)'!$B$7:$J$22,T$9,0),4)</f>
        <v>1.0033000000000001</v>
      </c>
      <c r="U19" s="272">
        <f>ROUND(VLOOKUP(MID($E19,4,3),'Wochentag F(WT)'!$B$7:$J$22,U$9,0),4)</f>
        <v>1.0108999999999999</v>
      </c>
      <c r="V19" s="272">
        <f>ROUND(VLOOKUP(MID($E19,4,3),'Wochentag F(WT)'!$B$7:$J$22,V$9,0),4)</f>
        <v>1.018</v>
      </c>
      <c r="W19" s="272">
        <f>ROUND(VLOOKUP(MID($E19,4,3),'Wochentag F(WT)'!$B$7:$J$22,W$9,0),4)</f>
        <v>1.0356000000000001</v>
      </c>
      <c r="X19" s="273">
        <f t="shared" si="2"/>
        <v>1.0106000000000002</v>
      </c>
      <c r="Y19" s="289">
        <v>350</v>
      </c>
      <c r="Z19" s="208"/>
    </row>
    <row r="20" spans="2:26" s="140" customFormat="1">
      <c r="B20" s="141">
        <v>9</v>
      </c>
      <c r="C20" s="142" t="str">
        <f t="shared" si="0"/>
        <v>EWK</v>
      </c>
      <c r="D20" s="60" t="s">
        <v>247</v>
      </c>
      <c r="E20" s="162" t="s">
        <v>665</v>
      </c>
      <c r="F20" s="293" t="str">
        <f>VLOOKUP($E20,'BDEW-Standard'!$B$3:$M$158,F$9,0)</f>
        <v>AB3</v>
      </c>
      <c r="H20" s="271">
        <f>ROUND(VLOOKUP($E20,'BDEW-Standard'!$B$3:$M$158,H$9,0),7)</f>
        <v>0.2770087</v>
      </c>
      <c r="I20" s="271">
        <f>ROUND(VLOOKUP($E20,'BDEW-Standard'!$B$3:$M$158,I$9,0),7)</f>
        <v>-33</v>
      </c>
      <c r="J20" s="271">
        <f>ROUND(VLOOKUP($E20,'BDEW-Standard'!$B$3:$M$158,J$9,0),7)</f>
        <v>5.7212303000000002</v>
      </c>
      <c r="K20" s="271">
        <f>ROUND(VLOOKUP($E20,'BDEW-Standard'!$B$3:$M$158,K$9,0),7)</f>
        <v>0.48651179999999999</v>
      </c>
      <c r="L20" s="333">
        <f>ROUND(VLOOKUP($E20,'BDEW-Standard'!$B$3:$M$158,L$9,0),1)</f>
        <v>40</v>
      </c>
      <c r="M20" s="271">
        <f>ROUND(VLOOKUP($E20,'BDEW-Standard'!$B$3:$M$158,M$9,0),7)</f>
        <v>-9.4848999999999992E-3</v>
      </c>
      <c r="N20" s="271">
        <f>ROUND(VLOOKUP($E20,'BDEW-Standard'!$B$3:$M$158,N$9,0),7)</f>
        <v>0.46302369999999998</v>
      </c>
      <c r="O20" s="271">
        <f>ROUND(VLOOKUP($E20,'BDEW-Standard'!$B$3:$M$158,O$9,0),7)</f>
        <v>-7.1339999999999999E-4</v>
      </c>
      <c r="P20" s="271">
        <f>ROUND(VLOOKUP($E20,'BDEW-Standard'!$B$3:$M$158,P$9,0),7)</f>
        <v>0.3867447</v>
      </c>
      <c r="Q20" s="334">
        <f t="shared" si="1"/>
        <v>1.0000000764227039</v>
      </c>
      <c r="R20" s="272">
        <f>ROUND(VLOOKUP(MID($E20,4,3),'Wochentag F(WT)'!$B$7:$J$22,R$9,0),4)</f>
        <v>1.0848</v>
      </c>
      <c r="S20" s="272">
        <f>ROUND(VLOOKUP(MID($E20,4,3),'Wochentag F(WT)'!$B$7:$J$22,S$9,0),4)</f>
        <v>1.1211</v>
      </c>
      <c r="T20" s="272">
        <f>ROUND(VLOOKUP(MID($E20,4,3),'Wochentag F(WT)'!$B$7:$J$22,T$9,0),4)</f>
        <v>1.0769</v>
      </c>
      <c r="U20" s="272">
        <f>ROUND(VLOOKUP(MID($E20,4,3),'Wochentag F(WT)'!$B$7:$J$22,U$9,0),4)</f>
        <v>1.1353</v>
      </c>
      <c r="V20" s="272">
        <f>ROUND(VLOOKUP(MID($E20,4,3),'Wochentag F(WT)'!$B$7:$J$22,V$9,0),4)</f>
        <v>1.1402000000000001</v>
      </c>
      <c r="W20" s="272">
        <f>ROUND(VLOOKUP(MID($E20,4,3),'Wochentag F(WT)'!$B$7:$J$22,W$9,0),4)</f>
        <v>0.48520000000000002</v>
      </c>
      <c r="X20" s="273">
        <f t="shared" si="2"/>
        <v>0.95650000000000013</v>
      </c>
      <c r="Y20" s="289">
        <v>350</v>
      </c>
      <c r="Z20" s="208"/>
    </row>
    <row r="21" spans="2:26" s="140" customFormat="1">
      <c r="B21" s="141">
        <v>10</v>
      </c>
      <c r="C21" s="142" t="str">
        <f t="shared" si="0"/>
        <v>EWK</v>
      </c>
      <c r="D21" s="60" t="s">
        <v>247</v>
      </c>
      <c r="E21" s="162" t="s">
        <v>666</v>
      </c>
      <c r="F21" s="293" t="str">
        <f>VLOOKUP($E21,'BDEW-Standard'!$B$3:$M$158,F$9,0)</f>
        <v>AW3</v>
      </c>
      <c r="H21" s="271">
        <f>ROUND(VLOOKUP($E21,'BDEW-Standard'!$B$3:$M$158,H$9,0),7)</f>
        <v>0.33378380000000002</v>
      </c>
      <c r="I21" s="271">
        <f>ROUND(VLOOKUP($E21,'BDEW-Standard'!$B$3:$M$158,I$9,0),7)</f>
        <v>-36.023791199999998</v>
      </c>
      <c r="J21" s="271">
        <f>ROUND(VLOOKUP($E21,'BDEW-Standard'!$B$3:$M$158,J$9,0),7)</f>
        <v>4.8662747</v>
      </c>
      <c r="K21" s="271">
        <f>ROUND(VLOOKUP($E21,'BDEW-Standard'!$B$3:$M$158,K$9,0),7)</f>
        <v>0.491228</v>
      </c>
      <c r="L21" s="333">
        <f>ROUND(VLOOKUP($E21,'BDEW-Standard'!$B$3:$M$158,L$9,0),1)</f>
        <v>40</v>
      </c>
      <c r="M21" s="271">
        <f>ROUND(VLOOKUP($E21,'BDEW-Standard'!$B$3:$M$158,M$9,0),7)</f>
        <v>-9.2262999999999998E-3</v>
      </c>
      <c r="N21" s="271">
        <f>ROUND(VLOOKUP($E21,'BDEW-Standard'!$B$3:$M$158,N$9,0),7)</f>
        <v>0.45957569999999998</v>
      </c>
      <c r="O21" s="271">
        <f>ROUND(VLOOKUP($E21,'BDEW-Standard'!$B$3:$M$158,O$9,0),7)</f>
        <v>-9.6759999999999999E-4</v>
      </c>
      <c r="P21" s="271">
        <f>ROUND(VLOOKUP($E21,'BDEW-Standard'!$B$3:$M$158,P$9,0),7)</f>
        <v>0.39642909999999998</v>
      </c>
      <c r="Q21" s="334">
        <f t="shared" si="1"/>
        <v>1.000000394217609</v>
      </c>
      <c r="R21" s="272">
        <f>ROUND(VLOOKUP(MID($E21,4,3),'Wochentag F(WT)'!$B$7:$J$22,R$9,0),4)</f>
        <v>1.2457</v>
      </c>
      <c r="S21" s="272">
        <f>ROUND(VLOOKUP(MID($E21,4,3),'Wochentag F(WT)'!$B$7:$J$22,S$9,0),4)</f>
        <v>1.2615000000000001</v>
      </c>
      <c r="T21" s="272">
        <f>ROUND(VLOOKUP(MID($E21,4,3),'Wochentag F(WT)'!$B$7:$J$22,T$9,0),4)</f>
        <v>1.2706999999999999</v>
      </c>
      <c r="U21" s="272">
        <f>ROUND(VLOOKUP(MID($E21,4,3),'Wochentag F(WT)'!$B$7:$J$22,U$9,0),4)</f>
        <v>1.2430000000000001</v>
      </c>
      <c r="V21" s="272">
        <f>ROUND(VLOOKUP(MID($E21,4,3),'Wochentag F(WT)'!$B$7:$J$22,V$9,0),4)</f>
        <v>1.1275999999999999</v>
      </c>
      <c r="W21" s="272">
        <f>ROUND(VLOOKUP(MID($E21,4,3),'Wochentag F(WT)'!$B$7:$J$22,W$9,0),4)</f>
        <v>0.38769999999999999</v>
      </c>
      <c r="X21" s="273">
        <f t="shared" si="2"/>
        <v>0.46379999999999999</v>
      </c>
      <c r="Y21" s="289">
        <v>350</v>
      </c>
      <c r="Z21" s="208"/>
    </row>
    <row r="22" spans="2:26" s="140" customFormat="1">
      <c r="B22" s="141">
        <v>11</v>
      </c>
      <c r="C22" s="142" t="str">
        <f t="shared" si="0"/>
        <v>EWK</v>
      </c>
      <c r="D22" s="60" t="s">
        <v>247</v>
      </c>
      <c r="E22" s="162" t="s">
        <v>667</v>
      </c>
      <c r="F22" s="293" t="str">
        <f>VLOOKUP($E22,'BDEW-Standard'!$B$3:$M$158,F$9,0)</f>
        <v>BG3</v>
      </c>
      <c r="H22" s="271">
        <f>ROUND(VLOOKUP($E22,'BDEW-Standard'!$B$3:$M$158,H$9,0),7)</f>
        <v>1.8213778</v>
      </c>
      <c r="I22" s="271">
        <f>ROUND(VLOOKUP($E22,'BDEW-Standard'!$B$3:$M$158,I$9,0),7)</f>
        <v>-37.5</v>
      </c>
      <c r="J22" s="271">
        <f>ROUND(VLOOKUP($E22,'BDEW-Standard'!$B$3:$M$158,J$9,0),7)</f>
        <v>6.3462148000000003</v>
      </c>
      <c r="K22" s="271">
        <f>ROUND(VLOOKUP($E22,'BDEW-Standard'!$B$3:$M$158,K$9,0),7)</f>
        <v>6.7811800000000005E-2</v>
      </c>
      <c r="L22" s="333">
        <f>ROUND(VLOOKUP($E22,'BDEW-Standard'!$B$3:$M$158,L$9,0),1)</f>
        <v>40</v>
      </c>
      <c r="M22" s="271">
        <f>ROUND(VLOOKUP($E22,'BDEW-Standard'!$B$3:$M$158,M$9,0),7)</f>
        <v>-6.0766599999999997E-2</v>
      </c>
      <c r="N22" s="271">
        <f>ROUND(VLOOKUP($E22,'BDEW-Standard'!$B$3:$M$158,N$9,0),7)</f>
        <v>0.93081590000000003</v>
      </c>
      <c r="O22" s="271">
        <f>ROUND(VLOOKUP($E22,'BDEW-Standard'!$B$3:$M$158,O$9,0),7)</f>
        <v>-1.3967000000000001E-3</v>
      </c>
      <c r="P22" s="271">
        <f>ROUND(VLOOKUP($E22,'BDEW-Standard'!$B$3:$M$158,P$9,0),7)</f>
        <v>8.5039900000000002E-2</v>
      </c>
      <c r="Q22" s="334">
        <f t="shared" si="1"/>
        <v>0.99999980465705085</v>
      </c>
      <c r="R22" s="272">
        <f>ROUND(VLOOKUP(MID($E22,4,3),'Wochentag F(WT)'!$B$7:$J$22,R$9,0),4)</f>
        <v>0.98970000000000002</v>
      </c>
      <c r="S22" s="272">
        <f>ROUND(VLOOKUP(MID($E22,4,3),'Wochentag F(WT)'!$B$7:$J$22,S$9,0),4)</f>
        <v>0.9627</v>
      </c>
      <c r="T22" s="272">
        <f>ROUND(VLOOKUP(MID($E22,4,3),'Wochentag F(WT)'!$B$7:$J$22,T$9,0),4)</f>
        <v>1.0507</v>
      </c>
      <c r="U22" s="272">
        <f>ROUND(VLOOKUP(MID($E22,4,3),'Wochentag F(WT)'!$B$7:$J$22,U$9,0),4)</f>
        <v>1.0551999999999999</v>
      </c>
      <c r="V22" s="272">
        <f>ROUND(VLOOKUP(MID($E22,4,3),'Wochentag F(WT)'!$B$7:$J$22,V$9,0),4)</f>
        <v>1.0297000000000001</v>
      </c>
      <c r="W22" s="272">
        <f>ROUND(VLOOKUP(MID($E22,4,3),'Wochentag F(WT)'!$B$7:$J$22,W$9,0),4)</f>
        <v>0.97670000000000001</v>
      </c>
      <c r="X22" s="273">
        <f t="shared" si="2"/>
        <v>0.9352999999999998</v>
      </c>
      <c r="Y22" s="289">
        <v>350</v>
      </c>
      <c r="Z22" s="208"/>
    </row>
    <row r="23" spans="2:26" s="140" customFormat="1">
      <c r="B23" s="141">
        <v>12</v>
      </c>
      <c r="C23" s="142" t="str">
        <f t="shared" si="0"/>
        <v>EWK</v>
      </c>
      <c r="D23" s="60" t="s">
        <v>247</v>
      </c>
      <c r="E23" s="162" t="s">
        <v>668</v>
      </c>
      <c r="F23" s="293" t="str">
        <f>VLOOKUP($E23,'BDEW-Standard'!$B$3:$M$158,F$9,0)</f>
        <v>DP3</v>
      </c>
      <c r="H23" s="271">
        <f>ROUND(VLOOKUP($E23,'BDEW-Standard'!$B$3:$M$158,H$9,0),7)</f>
        <v>1.7110738999999999</v>
      </c>
      <c r="I23" s="271">
        <f>ROUND(VLOOKUP($E23,'BDEW-Standard'!$B$3:$M$158,I$9,0),7)</f>
        <v>-35.799999999999997</v>
      </c>
      <c r="J23" s="271">
        <f>ROUND(VLOOKUP($E23,'BDEW-Standard'!$B$3:$M$158,J$9,0),7)</f>
        <v>8.4</v>
      </c>
      <c r="K23" s="271">
        <f>ROUND(VLOOKUP($E23,'BDEW-Standard'!$B$3:$M$158,K$9,0),7)</f>
        <v>7.02546E-2</v>
      </c>
      <c r="L23" s="333">
        <f>ROUND(VLOOKUP($E23,'BDEW-Standard'!$B$3:$M$158,L$9,0),1)</f>
        <v>40</v>
      </c>
      <c r="M23" s="271">
        <f>ROUND(VLOOKUP($E23,'BDEW-Standard'!$B$3:$M$158,M$9,0),7)</f>
        <v>-7.4538099999999996E-2</v>
      </c>
      <c r="N23" s="271">
        <f>ROUND(VLOOKUP($E23,'BDEW-Standard'!$B$3:$M$158,N$9,0),7)</f>
        <v>1.0463005000000001</v>
      </c>
      <c r="O23" s="271">
        <f>ROUND(VLOOKUP($E23,'BDEW-Standard'!$B$3:$M$158,O$9,0),7)</f>
        <v>-3.6719999999999998E-4</v>
      </c>
      <c r="P23" s="271">
        <f>ROUND(VLOOKUP($E23,'BDEW-Standard'!$B$3:$M$158,P$9,0),7)</f>
        <v>6.2188199999999999E-2</v>
      </c>
      <c r="Q23" s="334">
        <f t="shared" si="1"/>
        <v>1.0000000773228386</v>
      </c>
      <c r="R23" s="272">
        <f>ROUND(VLOOKUP(MID($E23,4,3),'Wochentag F(WT)'!$B$7:$J$22,R$9,0),4)</f>
        <v>1.0214000000000001</v>
      </c>
      <c r="S23" s="272">
        <f>ROUND(VLOOKUP(MID($E23,4,3),'Wochentag F(WT)'!$B$7:$J$22,S$9,0),4)</f>
        <v>1.0866</v>
      </c>
      <c r="T23" s="272">
        <f>ROUND(VLOOKUP(MID($E23,4,3),'Wochentag F(WT)'!$B$7:$J$22,T$9,0),4)</f>
        <v>1.0720000000000001</v>
      </c>
      <c r="U23" s="272">
        <f>ROUND(VLOOKUP(MID($E23,4,3),'Wochentag F(WT)'!$B$7:$J$22,U$9,0),4)</f>
        <v>1.0557000000000001</v>
      </c>
      <c r="V23" s="272">
        <f>ROUND(VLOOKUP(MID($E23,4,3),'Wochentag F(WT)'!$B$7:$J$22,V$9,0),4)</f>
        <v>1.0117</v>
      </c>
      <c r="W23" s="272">
        <f>ROUND(VLOOKUP(MID($E23,4,3),'Wochentag F(WT)'!$B$7:$J$22,W$9,0),4)</f>
        <v>0.90010000000000001</v>
      </c>
      <c r="X23" s="273">
        <f t="shared" si="2"/>
        <v>0.85249999999999915</v>
      </c>
      <c r="Y23" s="289">
        <v>350</v>
      </c>
      <c r="Z23" s="208"/>
    </row>
    <row r="24" spans="2:26" s="140" customFormat="1">
      <c r="B24" s="141">
        <v>13</v>
      </c>
      <c r="C24" s="142" t="str">
        <f t="shared" si="0"/>
        <v>EWK</v>
      </c>
      <c r="D24" s="60" t="s">
        <v>247</v>
      </c>
      <c r="E24" s="162" t="s">
        <v>4</v>
      </c>
      <c r="F24" s="293" t="str">
        <f>VLOOKUP($E24,'BDEW-Standard'!$B$3:$M$158,F$9,0)</f>
        <v>HK3</v>
      </c>
      <c r="H24" s="271">
        <f>ROUND(VLOOKUP($E24,'BDEW-Standard'!$B$3:$M$158,H$9,0),7)</f>
        <v>0.40409319999999999</v>
      </c>
      <c r="I24" s="271">
        <f>ROUND(VLOOKUP($E24,'BDEW-Standard'!$B$3:$M$158,I$9,0),7)</f>
        <v>-24.439296800000001</v>
      </c>
      <c r="J24" s="271">
        <f>ROUND(VLOOKUP($E24,'BDEW-Standard'!$B$3:$M$158,J$9,0),7)</f>
        <v>6.5718174999999999</v>
      </c>
      <c r="K24" s="271">
        <f>ROUND(VLOOKUP($E24,'BDEW-Standard'!$B$3:$M$158,K$9,0),7)</f>
        <v>0.71077100000000004</v>
      </c>
      <c r="L24" s="333">
        <f>ROUND(VLOOKUP($E24,'BDEW-Standard'!$B$3:$M$158,L$9,0),1)</f>
        <v>40</v>
      </c>
      <c r="M24" s="271">
        <f>ROUND(VLOOKUP($E24,'BDEW-Standard'!$B$3:$M$158,M$9,0),7)</f>
        <v>0</v>
      </c>
      <c r="N24" s="271">
        <f>ROUND(VLOOKUP($E24,'BDEW-Standard'!$B$3:$M$158,N$9,0),7)</f>
        <v>0</v>
      </c>
      <c r="O24" s="271">
        <f>ROUND(VLOOKUP($E24,'BDEW-Standard'!$B$3:$M$158,O$9,0),7)</f>
        <v>0</v>
      </c>
      <c r="P24" s="271">
        <f>ROUND(VLOOKUP($E24,'BDEW-Standard'!$B$3:$M$158,P$9,0),7)</f>
        <v>0</v>
      </c>
      <c r="Q24" s="334">
        <f t="shared" si="1"/>
        <v>1.0561214000512988</v>
      </c>
      <c r="R24" s="272">
        <f>ROUND(VLOOKUP(MID($E24,4,3),'Wochentag F(WT)'!$B$7:$J$22,R$9,0),4)</f>
        <v>1</v>
      </c>
      <c r="S24" s="272">
        <f>ROUND(VLOOKUP(MID($E24,4,3),'Wochentag F(WT)'!$B$7:$J$22,S$9,0),4)</f>
        <v>1</v>
      </c>
      <c r="T24" s="272">
        <f>ROUND(VLOOKUP(MID($E24,4,3),'Wochentag F(WT)'!$B$7:$J$22,T$9,0),4)</f>
        <v>1</v>
      </c>
      <c r="U24" s="272">
        <f>ROUND(VLOOKUP(MID($E24,4,3),'Wochentag F(WT)'!$B$7:$J$22,U$9,0),4)</f>
        <v>1</v>
      </c>
      <c r="V24" s="272">
        <f>ROUND(VLOOKUP(MID($E24,4,3),'Wochentag F(WT)'!$B$7:$J$22,V$9,0),4)</f>
        <v>1</v>
      </c>
      <c r="W24" s="272">
        <f>ROUND(VLOOKUP(MID($E24,4,3),'Wochentag F(WT)'!$B$7:$J$22,W$9,0),4)</f>
        <v>1</v>
      </c>
      <c r="X24" s="273">
        <f t="shared" si="2"/>
        <v>1</v>
      </c>
      <c r="Y24" s="289">
        <v>350</v>
      </c>
      <c r="Z24" s="208"/>
    </row>
    <row r="25" spans="2:26" s="140" customFormat="1">
      <c r="B25" s="141"/>
      <c r="C25" s="142"/>
      <c r="D25" s="60"/>
      <c r="E25" s="162"/>
      <c r="F25" s="293"/>
      <c r="H25" s="271"/>
      <c r="I25" s="271"/>
      <c r="J25" s="271"/>
      <c r="K25" s="271"/>
      <c r="L25" s="333"/>
      <c r="M25" s="271"/>
      <c r="N25" s="271"/>
      <c r="O25" s="271"/>
      <c r="P25" s="271"/>
      <c r="Q25" s="334"/>
      <c r="R25" s="272"/>
      <c r="S25" s="272"/>
      <c r="T25" s="272"/>
      <c r="U25" s="272"/>
      <c r="V25" s="272"/>
      <c r="W25" s="272"/>
      <c r="X25" s="273"/>
      <c r="Y25" s="289"/>
      <c r="Z25" s="208"/>
    </row>
    <row r="26" spans="2:26" s="140" customFormat="1">
      <c r="B26" s="141"/>
      <c r="C26" s="142"/>
      <c r="D26" s="60"/>
      <c r="E26" s="162"/>
      <c r="F26" s="293"/>
      <c r="H26" s="271"/>
      <c r="I26" s="271"/>
      <c r="J26" s="271"/>
      <c r="K26" s="271"/>
      <c r="L26" s="333"/>
      <c r="M26" s="271"/>
      <c r="N26" s="271"/>
      <c r="O26" s="271"/>
      <c r="P26" s="271"/>
      <c r="Q26" s="334"/>
      <c r="R26" s="272"/>
      <c r="S26" s="272"/>
      <c r="T26" s="272"/>
      <c r="U26" s="272"/>
      <c r="V26" s="272"/>
      <c r="W26" s="272"/>
      <c r="X26" s="273"/>
      <c r="Y26" s="289"/>
      <c r="Z26" s="208"/>
    </row>
    <row r="27" spans="2:26" s="140" customFormat="1">
      <c r="B27" s="141"/>
      <c r="C27" s="142"/>
      <c r="D27" s="60"/>
      <c r="E27" s="163"/>
      <c r="F27" s="293"/>
      <c r="H27" s="274"/>
      <c r="I27" s="274"/>
      <c r="J27" s="274"/>
      <c r="K27" s="274"/>
      <c r="L27" s="333"/>
      <c r="M27" s="274"/>
      <c r="N27" s="274"/>
      <c r="O27" s="274"/>
      <c r="P27" s="274"/>
      <c r="Q27" s="335"/>
      <c r="R27" s="275"/>
      <c r="S27" s="275"/>
      <c r="T27" s="275"/>
      <c r="U27" s="275"/>
      <c r="V27" s="275"/>
      <c r="W27" s="275"/>
      <c r="X27" s="276"/>
      <c r="Y27" s="289"/>
    </row>
    <row r="28" spans="2:26" s="140" customFormat="1">
      <c r="B28" s="141"/>
      <c r="C28" s="142"/>
      <c r="D28" s="60"/>
      <c r="E28" s="163"/>
      <c r="F28" s="293"/>
      <c r="H28" s="274"/>
      <c r="I28" s="274"/>
      <c r="J28" s="274"/>
      <c r="K28" s="274"/>
      <c r="L28" s="333"/>
      <c r="M28" s="274"/>
      <c r="N28" s="274"/>
      <c r="O28" s="274"/>
      <c r="P28" s="274"/>
      <c r="Q28" s="335"/>
      <c r="R28" s="275"/>
      <c r="S28" s="275"/>
      <c r="T28" s="275"/>
      <c r="U28" s="275"/>
      <c r="V28" s="275"/>
      <c r="W28" s="275"/>
      <c r="X28" s="276"/>
      <c r="Y28" s="289"/>
    </row>
    <row r="29" spans="2:26" s="140" customFormat="1">
      <c r="B29" s="141"/>
      <c r="C29" s="142"/>
      <c r="D29" s="60"/>
      <c r="E29" s="163"/>
      <c r="F29" s="293"/>
      <c r="H29" s="274"/>
      <c r="I29" s="274"/>
      <c r="J29" s="274"/>
      <c r="K29" s="274"/>
      <c r="L29" s="333"/>
      <c r="M29" s="274"/>
      <c r="N29" s="274"/>
      <c r="O29" s="274"/>
      <c r="P29" s="274"/>
      <c r="Q29" s="335"/>
      <c r="R29" s="275"/>
      <c r="S29" s="275"/>
      <c r="T29" s="275"/>
      <c r="U29" s="275"/>
      <c r="V29" s="275"/>
      <c r="W29" s="275"/>
      <c r="X29" s="276"/>
      <c r="Y29" s="289"/>
    </row>
    <row r="30" spans="2:26" s="140" customFormat="1">
      <c r="B30" s="141"/>
      <c r="C30" s="142"/>
      <c r="D30" s="60"/>
      <c r="E30" s="163"/>
      <c r="F30" s="293"/>
      <c r="H30" s="274"/>
      <c r="I30" s="274"/>
      <c r="J30" s="274"/>
      <c r="K30" s="274"/>
      <c r="L30" s="333"/>
      <c r="M30" s="274"/>
      <c r="N30" s="274"/>
      <c r="O30" s="274"/>
      <c r="P30" s="274"/>
      <c r="Q30" s="335"/>
      <c r="R30" s="275"/>
      <c r="S30" s="275"/>
      <c r="T30" s="275"/>
      <c r="U30" s="275"/>
      <c r="V30" s="275"/>
      <c r="W30" s="275"/>
      <c r="X30" s="276"/>
      <c r="Y30" s="289"/>
    </row>
    <row r="31" spans="2:26" s="140" customFormat="1">
      <c r="B31" s="141"/>
      <c r="C31" s="142"/>
      <c r="D31" s="60"/>
      <c r="E31" s="163"/>
      <c r="F31" s="293"/>
      <c r="H31" s="274"/>
      <c r="I31" s="274"/>
      <c r="J31" s="274"/>
      <c r="K31" s="274"/>
      <c r="L31" s="333"/>
      <c r="M31" s="274"/>
      <c r="N31" s="274"/>
      <c r="O31" s="274"/>
      <c r="P31" s="274"/>
      <c r="Q31" s="335"/>
      <c r="R31" s="275"/>
      <c r="S31" s="275"/>
      <c r="T31" s="275"/>
      <c r="U31" s="275"/>
      <c r="V31" s="275"/>
      <c r="W31" s="275"/>
      <c r="X31" s="276"/>
      <c r="Y31" s="289"/>
    </row>
    <row r="32" spans="2:26" s="140" customFormat="1">
      <c r="B32" s="141"/>
      <c r="C32" s="142"/>
      <c r="D32" s="60"/>
      <c r="E32" s="163"/>
      <c r="F32" s="293"/>
      <c r="H32" s="274"/>
      <c r="I32" s="274"/>
      <c r="J32" s="274"/>
      <c r="K32" s="274"/>
      <c r="L32" s="333"/>
      <c r="M32" s="274"/>
      <c r="N32" s="274"/>
      <c r="O32" s="274"/>
      <c r="P32" s="274"/>
      <c r="Q32" s="335"/>
      <c r="R32" s="275"/>
      <c r="S32" s="275"/>
      <c r="T32" s="275"/>
      <c r="U32" s="275"/>
      <c r="V32" s="275"/>
      <c r="W32" s="275"/>
      <c r="X32" s="276"/>
      <c r="Y32" s="289"/>
    </row>
    <row r="33" spans="2:25" s="140" customFormat="1">
      <c r="B33" s="141"/>
      <c r="C33" s="142"/>
      <c r="D33" s="60"/>
      <c r="E33" s="163"/>
      <c r="F33" s="293"/>
      <c r="H33" s="274"/>
      <c r="I33" s="274"/>
      <c r="J33" s="274"/>
      <c r="K33" s="274"/>
      <c r="L33" s="333"/>
      <c r="M33" s="274"/>
      <c r="N33" s="274"/>
      <c r="O33" s="274"/>
      <c r="P33" s="274"/>
      <c r="Q33" s="335"/>
      <c r="R33" s="275"/>
      <c r="S33" s="275"/>
      <c r="T33" s="275"/>
      <c r="U33" s="275"/>
      <c r="V33" s="275"/>
      <c r="W33" s="275"/>
      <c r="X33" s="276"/>
      <c r="Y33" s="289"/>
    </row>
    <row r="34" spans="2:25" s="140" customFormat="1">
      <c r="B34" s="141"/>
      <c r="C34" s="142"/>
      <c r="D34" s="60"/>
      <c r="E34" s="163"/>
      <c r="F34" s="293"/>
      <c r="H34" s="274"/>
      <c r="I34" s="274"/>
      <c r="J34" s="274"/>
      <c r="K34" s="274"/>
      <c r="L34" s="333"/>
      <c r="M34" s="274"/>
      <c r="N34" s="274"/>
      <c r="O34" s="274"/>
      <c r="P34" s="274"/>
      <c r="Q34" s="335"/>
      <c r="R34" s="275"/>
      <c r="S34" s="275"/>
      <c r="T34" s="275"/>
      <c r="U34" s="275"/>
      <c r="V34" s="275"/>
      <c r="W34" s="275"/>
      <c r="X34" s="276"/>
      <c r="Y34" s="289"/>
    </row>
    <row r="35" spans="2:25" s="140" customFormat="1">
      <c r="B35" s="141"/>
      <c r="C35" s="142"/>
      <c r="D35" s="60"/>
      <c r="E35" s="163"/>
      <c r="F35" s="293"/>
      <c r="H35" s="274"/>
      <c r="I35" s="274"/>
      <c r="J35" s="274"/>
      <c r="K35" s="274"/>
      <c r="L35" s="333"/>
      <c r="M35" s="274"/>
      <c r="N35" s="274"/>
      <c r="O35" s="274"/>
      <c r="P35" s="274"/>
      <c r="Q35" s="335"/>
      <c r="R35" s="275"/>
      <c r="S35" s="275"/>
      <c r="T35" s="275"/>
      <c r="U35" s="275"/>
      <c r="V35" s="275"/>
      <c r="W35" s="275"/>
      <c r="X35" s="276"/>
      <c r="Y35" s="289"/>
    </row>
    <row r="36" spans="2:25" s="140" customFormat="1">
      <c r="B36" s="141"/>
      <c r="C36" s="142"/>
      <c r="D36" s="60"/>
      <c r="E36" s="163"/>
      <c r="F36" s="293"/>
      <c r="H36" s="274"/>
      <c r="I36" s="274"/>
      <c r="J36" s="274"/>
      <c r="K36" s="274"/>
      <c r="L36" s="333"/>
      <c r="M36" s="274"/>
      <c r="N36" s="274"/>
      <c r="O36" s="274"/>
      <c r="P36" s="274"/>
      <c r="Q36" s="335"/>
      <c r="R36" s="275"/>
      <c r="S36" s="275"/>
      <c r="T36" s="275"/>
      <c r="U36" s="275"/>
      <c r="V36" s="275"/>
      <c r="W36" s="275"/>
      <c r="X36" s="276"/>
      <c r="Y36" s="289"/>
    </row>
    <row r="37" spans="2:25" s="140" customFormat="1">
      <c r="B37" s="141"/>
      <c r="C37" s="142"/>
      <c r="D37" s="60"/>
      <c r="E37" s="163"/>
      <c r="F37" s="293"/>
      <c r="H37" s="274"/>
      <c r="I37" s="274"/>
      <c r="J37" s="274"/>
      <c r="K37" s="274"/>
      <c r="L37" s="333"/>
      <c r="M37" s="274"/>
      <c r="N37" s="274"/>
      <c r="O37" s="274"/>
      <c r="P37" s="274"/>
      <c r="Q37" s="335"/>
      <c r="R37" s="275"/>
      <c r="S37" s="275"/>
      <c r="T37" s="275"/>
      <c r="U37" s="275"/>
      <c r="V37" s="275"/>
      <c r="W37" s="275"/>
      <c r="X37" s="276"/>
      <c r="Y37" s="289"/>
    </row>
    <row r="38" spans="2:25" s="140" customFormat="1">
      <c r="B38" s="141"/>
      <c r="C38" s="142"/>
      <c r="D38" s="60"/>
      <c r="E38" s="163"/>
      <c r="F38" s="293"/>
      <c r="H38" s="274"/>
      <c r="I38" s="274"/>
      <c r="J38" s="274"/>
      <c r="K38" s="274"/>
      <c r="L38" s="333"/>
      <c r="M38" s="274"/>
      <c r="N38" s="274"/>
      <c r="O38" s="274"/>
      <c r="P38" s="274"/>
      <c r="Q38" s="335"/>
      <c r="R38" s="275"/>
      <c r="S38" s="275"/>
      <c r="T38" s="275"/>
      <c r="U38" s="275"/>
      <c r="V38" s="275"/>
      <c r="W38" s="275"/>
      <c r="X38" s="276"/>
      <c r="Y38" s="289"/>
    </row>
    <row r="39" spans="2:25" s="140" customFormat="1">
      <c r="B39" s="141"/>
      <c r="C39" s="142"/>
      <c r="D39" s="60"/>
      <c r="E39" s="163"/>
      <c r="F39" s="293"/>
      <c r="H39" s="274"/>
      <c r="I39" s="274"/>
      <c r="J39" s="274"/>
      <c r="K39" s="274"/>
      <c r="L39" s="333"/>
      <c r="M39" s="274"/>
      <c r="N39" s="274"/>
      <c r="O39" s="274"/>
      <c r="P39" s="274"/>
      <c r="Q39" s="335"/>
      <c r="R39" s="275"/>
      <c r="S39" s="275"/>
      <c r="T39" s="275"/>
      <c r="U39" s="275"/>
      <c r="V39" s="275"/>
      <c r="W39" s="275"/>
      <c r="X39" s="276"/>
      <c r="Y39" s="289"/>
    </row>
    <row r="40" spans="2:25" s="140" customFormat="1">
      <c r="B40" s="141"/>
      <c r="C40" s="142"/>
      <c r="D40" s="60"/>
      <c r="E40" s="163"/>
      <c r="F40" s="293"/>
      <c r="H40" s="274"/>
      <c r="I40" s="274"/>
      <c r="J40" s="274"/>
      <c r="K40" s="274"/>
      <c r="L40" s="333"/>
      <c r="M40" s="274"/>
      <c r="N40" s="274"/>
      <c r="O40" s="274"/>
      <c r="P40" s="274"/>
      <c r="Q40" s="335"/>
      <c r="R40" s="275"/>
      <c r="S40" s="275"/>
      <c r="T40" s="275"/>
      <c r="U40" s="275"/>
      <c r="V40" s="275"/>
      <c r="W40" s="275"/>
      <c r="X40" s="276"/>
      <c r="Y40" s="289"/>
    </row>
    <row r="41" spans="2:25" s="140" customFormat="1">
      <c r="B41" s="141"/>
      <c r="C41" s="142"/>
      <c r="D41" s="60"/>
      <c r="E41" s="163"/>
      <c r="F41" s="293"/>
      <c r="H41" s="274"/>
      <c r="I41" s="274"/>
      <c r="J41" s="274"/>
      <c r="K41" s="274"/>
      <c r="L41" s="333"/>
      <c r="M41" s="274"/>
      <c r="N41" s="274"/>
      <c r="O41" s="274"/>
      <c r="P41" s="274"/>
      <c r="Q41" s="335"/>
      <c r="R41" s="275"/>
      <c r="S41" s="275"/>
      <c r="T41" s="275"/>
      <c r="U41" s="275"/>
      <c r="V41" s="275"/>
      <c r="W41" s="275"/>
      <c r="X41" s="276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4 Q12:X24 F13:P24 F12:G12 I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U11" sqref="U11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4.710937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446</v>
      </c>
    </row>
    <row r="3" spans="2:30" ht="15" customHeight="1">
      <c r="B3" s="82"/>
    </row>
    <row r="4" spans="2:30" ht="15" customHeight="1">
      <c r="B4" s="83" t="s">
        <v>445</v>
      </c>
      <c r="C4" s="61" t="str">
        <f>Netzbetreiber!$D$9</f>
        <v>Energie- und Wasserversorgung Kirchzarten GmbH</v>
      </c>
      <c r="D4" s="74"/>
      <c r="G4" s="74"/>
      <c r="I4" s="74"/>
      <c r="J4" s="75"/>
      <c r="M4" s="84" t="s">
        <v>533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444</v>
      </c>
      <c r="C5" s="62" t="str">
        <f>Netzbetreiber!$D$28</f>
        <v>EWK</v>
      </c>
      <c r="D5" s="37"/>
      <c r="E5" s="74"/>
      <c r="F5" s="74"/>
      <c r="G5" s="74"/>
      <c r="I5" s="74"/>
      <c r="J5" s="74"/>
      <c r="K5" s="74"/>
      <c r="L5" s="74"/>
      <c r="M5" s="86" t="s">
        <v>504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442</v>
      </c>
      <c r="C6" s="61" t="str">
        <f>Netzbetreiber!$D$11</f>
        <v>9870103600002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7">
        <f>Netzbetreiber!$D$6</f>
        <v>42644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77" t="s">
        <v>458</v>
      </c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9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466</v>
      </c>
      <c r="N9" s="89" t="s">
        <v>371</v>
      </c>
      <c r="O9" s="90" t="s">
        <v>372</v>
      </c>
      <c r="P9" s="90" t="s">
        <v>373</v>
      </c>
      <c r="Q9" s="90" t="s">
        <v>374</v>
      </c>
      <c r="R9" s="90" t="s">
        <v>375</v>
      </c>
      <c r="S9" s="90" t="s">
        <v>376</v>
      </c>
      <c r="T9" s="90" t="s">
        <v>377</v>
      </c>
      <c r="U9" s="90" t="s">
        <v>378</v>
      </c>
      <c r="V9" s="90" t="s">
        <v>379</v>
      </c>
      <c r="W9" s="90" t="s">
        <v>380</v>
      </c>
      <c r="X9" s="90" t="s">
        <v>381</v>
      </c>
      <c r="Y9" s="90" t="s">
        <v>382</v>
      </c>
      <c r="Z9" s="90" t="s">
        <v>383</v>
      </c>
      <c r="AA9" s="90" t="s">
        <v>384</v>
      </c>
      <c r="AB9" s="90" t="s">
        <v>385</v>
      </c>
      <c r="AC9" s="91" t="s">
        <v>386</v>
      </c>
      <c r="AD9" s="91" t="s">
        <v>426</v>
      </c>
    </row>
    <row r="10" spans="2:30" ht="72" customHeight="1" thickBot="1">
      <c r="B10" s="382" t="s">
        <v>576</v>
      </c>
      <c r="C10" s="383"/>
      <c r="D10" s="92">
        <v>2</v>
      </c>
      <c r="E10" s="93" t="str">
        <f>IF(ISERROR(HLOOKUP(E$11,$M$9:$AD$33,$D10,0)),"",HLOOKUP(E$11,$M$9:$AD$33,$D10,0))</f>
        <v/>
      </c>
      <c r="F10" s="380" t="s">
        <v>397</v>
      </c>
      <c r="G10" s="380"/>
      <c r="H10" s="380"/>
      <c r="I10" s="380"/>
      <c r="J10" s="380"/>
      <c r="K10" s="380"/>
      <c r="L10" s="381"/>
      <c r="M10" s="94" t="s">
        <v>467</v>
      </c>
      <c r="N10" s="95" t="s">
        <v>468</v>
      </c>
      <c r="O10" s="96" t="s">
        <v>469</v>
      </c>
      <c r="P10" s="97" t="s">
        <v>470</v>
      </c>
      <c r="Q10" s="97" t="s">
        <v>471</v>
      </c>
      <c r="R10" s="97" t="s">
        <v>472</v>
      </c>
      <c r="S10" s="97" t="s">
        <v>473</v>
      </c>
      <c r="T10" s="97" t="s">
        <v>474</v>
      </c>
      <c r="U10" s="97" t="s">
        <v>475</v>
      </c>
      <c r="V10" s="97" t="s">
        <v>476</v>
      </c>
      <c r="W10" s="97" t="s">
        <v>477</v>
      </c>
      <c r="X10" s="97" t="s">
        <v>478</v>
      </c>
      <c r="Y10" s="97" t="s">
        <v>479</v>
      </c>
      <c r="Z10" s="97" t="s">
        <v>480</v>
      </c>
      <c r="AA10" s="97" t="s">
        <v>481</v>
      </c>
      <c r="AB10" s="97" t="s">
        <v>482</v>
      </c>
      <c r="AC10" s="98" t="s">
        <v>483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388</v>
      </c>
      <c r="G11" s="105" t="s">
        <v>389</v>
      </c>
      <c r="H11" s="105" t="s">
        <v>390</v>
      </c>
      <c r="I11" s="105" t="s">
        <v>391</v>
      </c>
      <c r="J11" s="105" t="s">
        <v>392</v>
      </c>
      <c r="K11" s="105" t="s">
        <v>393</v>
      </c>
      <c r="L11" s="106" t="s">
        <v>394</v>
      </c>
      <c r="M11" s="69">
        <v>1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1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398</v>
      </c>
      <c r="C12" s="108"/>
      <c r="D12" s="109">
        <v>4</v>
      </c>
      <c r="E12" s="300">
        <f>MIN(SUMPRODUCT($M$11:$AD$11,M12:AD12),1)</f>
        <v>1</v>
      </c>
      <c r="F12" s="297" t="s">
        <v>394</v>
      </c>
      <c r="G12" s="76" t="s">
        <v>394</v>
      </c>
      <c r="H12" s="76" t="s">
        <v>394</v>
      </c>
      <c r="I12" s="76" t="s">
        <v>394</v>
      </c>
      <c r="J12" s="76" t="s">
        <v>394</v>
      </c>
      <c r="K12" s="76" t="s">
        <v>394</v>
      </c>
      <c r="L12" s="77" t="s">
        <v>394</v>
      </c>
      <c r="M12" s="336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6">
        <v>1</v>
      </c>
    </row>
    <row r="13" spans="2:30" ht="15">
      <c r="B13" s="113" t="s">
        <v>399</v>
      </c>
      <c r="C13" s="114"/>
      <c r="D13" s="109">
        <v>5</v>
      </c>
      <c r="E13" s="301">
        <f t="shared" ref="E13:E33" si="0">MIN(SUMPRODUCT($M$11:$AD$11,M13:AD13),1)</f>
        <v>1</v>
      </c>
      <c r="F13" s="298" t="s">
        <v>394</v>
      </c>
      <c r="G13" s="78" t="s">
        <v>394</v>
      </c>
      <c r="H13" s="78" t="s">
        <v>394</v>
      </c>
      <c r="I13" s="78" t="s">
        <v>394</v>
      </c>
      <c r="J13" s="78" t="s">
        <v>394</v>
      </c>
      <c r="K13" s="78" t="s">
        <v>394</v>
      </c>
      <c r="L13" s="79" t="s">
        <v>394</v>
      </c>
      <c r="M13" s="336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7"/>
    </row>
    <row r="14" spans="2:30" ht="15">
      <c r="B14" s="113" t="s">
        <v>400</v>
      </c>
      <c r="C14" s="114"/>
      <c r="D14" s="109">
        <v>6</v>
      </c>
      <c r="E14" s="301">
        <f t="shared" si="0"/>
        <v>0</v>
      </c>
      <c r="F14" s="298" t="s">
        <v>394</v>
      </c>
      <c r="G14" s="78" t="s">
        <v>401</v>
      </c>
      <c r="H14" s="78" t="s">
        <v>401</v>
      </c>
      <c r="I14" s="78" t="s">
        <v>401</v>
      </c>
      <c r="J14" s="78" t="s">
        <v>401</v>
      </c>
      <c r="K14" s="78" t="s">
        <v>401</v>
      </c>
      <c r="L14" s="79" t="s">
        <v>401</v>
      </c>
      <c r="M14" s="336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7"/>
    </row>
    <row r="15" spans="2:30" ht="15">
      <c r="B15" s="113" t="s">
        <v>650</v>
      </c>
      <c r="C15" s="114"/>
      <c r="D15" s="109">
        <v>7</v>
      </c>
      <c r="E15" s="301">
        <f t="shared" si="0"/>
        <v>0</v>
      </c>
      <c r="F15" s="298" t="s">
        <v>401</v>
      </c>
      <c r="G15" s="78" t="s">
        <v>393</v>
      </c>
      <c r="H15" s="78" t="s">
        <v>401</v>
      </c>
      <c r="I15" s="78" t="s">
        <v>401</v>
      </c>
      <c r="J15" s="78" t="s">
        <v>401</v>
      </c>
      <c r="K15" s="78" t="s">
        <v>401</v>
      </c>
      <c r="L15" s="79" t="s">
        <v>401</v>
      </c>
      <c r="M15" s="336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7"/>
    </row>
    <row r="16" spans="2:30" ht="15">
      <c r="B16" s="118" t="s">
        <v>413</v>
      </c>
      <c r="C16" s="114"/>
      <c r="D16" s="109">
        <v>8</v>
      </c>
      <c r="E16" s="301">
        <f t="shared" si="0"/>
        <v>1</v>
      </c>
      <c r="F16" s="298" t="s">
        <v>401</v>
      </c>
      <c r="G16" s="78" t="s">
        <v>401</v>
      </c>
      <c r="H16" s="78" t="s">
        <v>401</v>
      </c>
      <c r="I16" s="78" t="s">
        <v>401</v>
      </c>
      <c r="J16" s="78" t="s">
        <v>394</v>
      </c>
      <c r="K16" s="78" t="s">
        <v>401</v>
      </c>
      <c r="L16" s="79" t="s">
        <v>401</v>
      </c>
      <c r="M16" s="336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7">
        <v>1</v>
      </c>
    </row>
    <row r="17" spans="2:30" ht="15">
      <c r="B17" s="118" t="s">
        <v>414</v>
      </c>
      <c r="C17" s="114"/>
      <c r="D17" s="109">
        <v>9</v>
      </c>
      <c r="E17" s="301">
        <f t="shared" si="0"/>
        <v>1</v>
      </c>
      <c r="F17" s="298" t="s">
        <v>401</v>
      </c>
      <c r="G17" s="78" t="s">
        <v>401</v>
      </c>
      <c r="H17" s="78" t="s">
        <v>401</v>
      </c>
      <c r="I17" s="78" t="s">
        <v>401</v>
      </c>
      <c r="J17" s="78" t="s">
        <v>401</v>
      </c>
      <c r="K17" s="78" t="s">
        <v>401</v>
      </c>
      <c r="L17" s="79" t="s">
        <v>394</v>
      </c>
      <c r="M17" s="336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7">
        <v>1</v>
      </c>
    </row>
    <row r="18" spans="2:30" ht="15">
      <c r="B18" s="118" t="s">
        <v>415</v>
      </c>
      <c r="C18" s="114"/>
      <c r="D18" s="109">
        <v>10</v>
      </c>
      <c r="E18" s="301">
        <f t="shared" si="0"/>
        <v>1</v>
      </c>
      <c r="F18" s="298" t="s">
        <v>394</v>
      </c>
      <c r="G18" s="78" t="s">
        <v>401</v>
      </c>
      <c r="H18" s="78" t="s">
        <v>401</v>
      </c>
      <c r="I18" s="78" t="s">
        <v>401</v>
      </c>
      <c r="J18" s="78" t="s">
        <v>401</v>
      </c>
      <c r="K18" s="78" t="s">
        <v>401</v>
      </c>
      <c r="L18" s="79" t="s">
        <v>401</v>
      </c>
      <c r="M18" s="336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7">
        <v>1</v>
      </c>
    </row>
    <row r="19" spans="2:30" ht="15">
      <c r="B19" s="118" t="s">
        <v>402</v>
      </c>
      <c r="C19" s="114"/>
      <c r="D19" s="109">
        <v>11</v>
      </c>
      <c r="E19" s="301">
        <f t="shared" si="0"/>
        <v>1</v>
      </c>
      <c r="F19" s="298" t="s">
        <v>394</v>
      </c>
      <c r="G19" s="78" t="s">
        <v>394</v>
      </c>
      <c r="H19" s="78" t="s">
        <v>394</v>
      </c>
      <c r="I19" s="78" t="s">
        <v>394</v>
      </c>
      <c r="J19" s="78" t="s">
        <v>394</v>
      </c>
      <c r="K19" s="78" t="s">
        <v>394</v>
      </c>
      <c r="L19" s="79" t="s">
        <v>394</v>
      </c>
      <c r="M19" s="336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7">
        <v>1</v>
      </c>
    </row>
    <row r="20" spans="2:30" ht="15">
      <c r="B20" s="118" t="s">
        <v>643</v>
      </c>
      <c r="C20" s="114"/>
      <c r="D20" s="109">
        <v>12</v>
      </c>
      <c r="E20" s="301">
        <f t="shared" si="0"/>
        <v>1</v>
      </c>
      <c r="F20" s="298" t="s">
        <v>401</v>
      </c>
      <c r="G20" s="78" t="s">
        <v>401</v>
      </c>
      <c r="H20" s="78" t="s">
        <v>401</v>
      </c>
      <c r="I20" s="78" t="s">
        <v>394</v>
      </c>
      <c r="J20" s="78" t="s">
        <v>401</v>
      </c>
      <c r="K20" s="78" t="s">
        <v>401</v>
      </c>
      <c r="L20" s="79" t="s">
        <v>401</v>
      </c>
      <c r="M20" s="336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7">
        <v>1</v>
      </c>
    </row>
    <row r="21" spans="2:30" ht="15">
      <c r="B21" s="118" t="s">
        <v>416</v>
      </c>
      <c r="C21" s="114"/>
      <c r="D21" s="109">
        <v>13</v>
      </c>
      <c r="E21" s="301">
        <f t="shared" si="0"/>
        <v>1</v>
      </c>
      <c r="F21" s="298" t="s">
        <v>401</v>
      </c>
      <c r="G21" s="78" t="s">
        <v>401</v>
      </c>
      <c r="H21" s="78" t="s">
        <v>401</v>
      </c>
      <c r="I21" s="78" t="s">
        <v>401</v>
      </c>
      <c r="J21" s="78" t="s">
        <v>401</v>
      </c>
      <c r="K21" s="78" t="s">
        <v>401</v>
      </c>
      <c r="L21" s="79" t="s">
        <v>394</v>
      </c>
      <c r="M21" s="336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7">
        <v>1</v>
      </c>
    </row>
    <row r="22" spans="2:30" ht="15">
      <c r="B22" s="118" t="s">
        <v>417</v>
      </c>
      <c r="C22" s="114"/>
      <c r="D22" s="109">
        <v>14</v>
      </c>
      <c r="E22" s="301">
        <f t="shared" si="0"/>
        <v>1</v>
      </c>
      <c r="F22" s="298" t="s">
        <v>394</v>
      </c>
      <c r="G22" s="78" t="s">
        <v>401</v>
      </c>
      <c r="H22" s="78" t="s">
        <v>401</v>
      </c>
      <c r="I22" s="78" t="s">
        <v>401</v>
      </c>
      <c r="J22" s="78" t="s">
        <v>401</v>
      </c>
      <c r="K22" s="78" t="s">
        <v>401</v>
      </c>
      <c r="L22" s="79" t="s">
        <v>401</v>
      </c>
      <c r="M22" s="336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7">
        <v>1</v>
      </c>
    </row>
    <row r="23" spans="2:30" ht="15">
      <c r="B23" s="113" t="s">
        <v>649</v>
      </c>
      <c r="C23" s="114"/>
      <c r="D23" s="109">
        <v>15</v>
      </c>
      <c r="E23" s="301">
        <f t="shared" si="0"/>
        <v>1</v>
      </c>
      <c r="F23" s="298" t="s">
        <v>401</v>
      </c>
      <c r="G23" s="78" t="s">
        <v>401</v>
      </c>
      <c r="H23" s="78" t="s">
        <v>401</v>
      </c>
      <c r="I23" s="78" t="s">
        <v>394</v>
      </c>
      <c r="J23" s="78" t="s">
        <v>401</v>
      </c>
      <c r="K23" s="78" t="s">
        <v>401</v>
      </c>
      <c r="L23" s="79" t="s">
        <v>401</v>
      </c>
      <c r="M23" s="336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7"/>
    </row>
    <row r="24" spans="2:30" ht="15">
      <c r="B24" s="113" t="s">
        <v>403</v>
      </c>
      <c r="C24" s="114"/>
      <c r="D24" s="109">
        <v>16</v>
      </c>
      <c r="E24" s="301">
        <f t="shared" si="0"/>
        <v>0</v>
      </c>
      <c r="F24" s="298" t="s">
        <v>394</v>
      </c>
      <c r="G24" s="78" t="s">
        <v>394</v>
      </c>
      <c r="H24" s="78" t="s">
        <v>394</v>
      </c>
      <c r="I24" s="78" t="s">
        <v>394</v>
      </c>
      <c r="J24" s="78" t="s">
        <v>394</v>
      </c>
      <c r="K24" s="78" t="s">
        <v>394</v>
      </c>
      <c r="L24" s="79" t="s">
        <v>394</v>
      </c>
      <c r="M24" s="336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7"/>
    </row>
    <row r="25" spans="2:30" ht="15">
      <c r="B25" s="113" t="s">
        <v>404</v>
      </c>
      <c r="C25" s="114"/>
      <c r="D25" s="109">
        <v>17</v>
      </c>
      <c r="E25" s="301">
        <f t="shared" si="0"/>
        <v>0</v>
      </c>
      <c r="F25" s="298" t="s">
        <v>394</v>
      </c>
      <c r="G25" s="78" t="s">
        <v>394</v>
      </c>
      <c r="H25" s="78" t="s">
        <v>394</v>
      </c>
      <c r="I25" s="78" t="s">
        <v>394</v>
      </c>
      <c r="J25" s="78" t="s">
        <v>394</v>
      </c>
      <c r="K25" s="78" t="s">
        <v>394</v>
      </c>
      <c r="L25" s="79" t="s">
        <v>394</v>
      </c>
      <c r="M25" s="336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7"/>
    </row>
    <row r="26" spans="2:30" ht="15">
      <c r="B26" s="118" t="s">
        <v>405</v>
      </c>
      <c r="C26" s="114"/>
      <c r="D26" s="109">
        <v>18</v>
      </c>
      <c r="E26" s="301">
        <f t="shared" si="0"/>
        <v>1</v>
      </c>
      <c r="F26" s="298" t="s">
        <v>394</v>
      </c>
      <c r="G26" s="78" t="s">
        <v>394</v>
      </c>
      <c r="H26" s="78" t="s">
        <v>394</v>
      </c>
      <c r="I26" s="78" t="s">
        <v>394</v>
      </c>
      <c r="J26" s="78" t="s">
        <v>394</v>
      </c>
      <c r="K26" s="78" t="s">
        <v>394</v>
      </c>
      <c r="L26" s="79" t="s">
        <v>394</v>
      </c>
      <c r="M26" s="336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7">
        <v>1</v>
      </c>
    </row>
    <row r="27" spans="2:30" ht="15">
      <c r="B27" s="113" t="s">
        <v>406</v>
      </c>
      <c r="C27" s="114"/>
      <c r="D27" s="109">
        <v>19</v>
      </c>
      <c r="E27" s="301">
        <f t="shared" si="0"/>
        <v>0</v>
      </c>
      <c r="F27" s="298" t="s">
        <v>394</v>
      </c>
      <c r="G27" s="78" t="s">
        <v>394</v>
      </c>
      <c r="H27" s="78" t="s">
        <v>394</v>
      </c>
      <c r="I27" s="78" t="s">
        <v>394</v>
      </c>
      <c r="J27" s="78" t="s">
        <v>394</v>
      </c>
      <c r="K27" s="78" t="s">
        <v>394</v>
      </c>
      <c r="L27" s="79" t="s">
        <v>394</v>
      </c>
      <c r="M27" s="336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7"/>
    </row>
    <row r="28" spans="2:30" ht="15">
      <c r="B28" s="113" t="s">
        <v>407</v>
      </c>
      <c r="C28" s="114"/>
      <c r="D28" s="109">
        <v>20</v>
      </c>
      <c r="E28" s="301">
        <f t="shared" si="0"/>
        <v>1</v>
      </c>
      <c r="F28" s="298" t="s">
        <v>394</v>
      </c>
      <c r="G28" s="78" t="s">
        <v>394</v>
      </c>
      <c r="H28" s="78" t="s">
        <v>394</v>
      </c>
      <c r="I28" s="78" t="s">
        <v>394</v>
      </c>
      <c r="J28" s="78" t="s">
        <v>394</v>
      </c>
      <c r="K28" s="78" t="s">
        <v>394</v>
      </c>
      <c r="L28" s="79" t="s">
        <v>394</v>
      </c>
      <c r="M28" s="336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7"/>
    </row>
    <row r="29" spans="2:30" ht="15">
      <c r="B29" s="113" t="s">
        <v>408</v>
      </c>
      <c r="C29" s="114"/>
      <c r="D29" s="109">
        <v>21</v>
      </c>
      <c r="E29" s="301">
        <f t="shared" si="0"/>
        <v>0</v>
      </c>
      <c r="F29" s="298" t="s">
        <v>401</v>
      </c>
      <c r="G29" s="78" t="s">
        <v>401</v>
      </c>
      <c r="H29" s="78" t="s">
        <v>394</v>
      </c>
      <c r="I29" s="78" t="s">
        <v>401</v>
      </c>
      <c r="J29" s="78" t="s">
        <v>401</v>
      </c>
      <c r="K29" s="78" t="s">
        <v>401</v>
      </c>
      <c r="L29" s="79" t="s">
        <v>401</v>
      </c>
      <c r="M29" s="336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7"/>
    </row>
    <row r="30" spans="2:30" ht="15">
      <c r="B30" s="113" t="s">
        <v>409</v>
      </c>
      <c r="C30" s="114"/>
      <c r="D30" s="109">
        <v>22</v>
      </c>
      <c r="E30" s="301">
        <f t="shared" si="0"/>
        <v>0</v>
      </c>
      <c r="F30" s="298" t="s">
        <v>393</v>
      </c>
      <c r="G30" s="78" t="s">
        <v>393</v>
      </c>
      <c r="H30" s="78" t="s">
        <v>393</v>
      </c>
      <c r="I30" s="78" t="s">
        <v>393</v>
      </c>
      <c r="J30" s="78" t="s">
        <v>393</v>
      </c>
      <c r="K30" s="78" t="s">
        <v>393</v>
      </c>
      <c r="L30" s="79" t="s">
        <v>394</v>
      </c>
      <c r="M30" s="336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7"/>
    </row>
    <row r="31" spans="2:30" ht="15">
      <c r="B31" s="118" t="s">
        <v>410</v>
      </c>
      <c r="C31" s="114"/>
      <c r="D31" s="109">
        <v>23</v>
      </c>
      <c r="E31" s="301">
        <f t="shared" si="0"/>
        <v>1</v>
      </c>
      <c r="F31" s="298" t="s">
        <v>394</v>
      </c>
      <c r="G31" s="78" t="s">
        <v>394</v>
      </c>
      <c r="H31" s="78" t="s">
        <v>394</v>
      </c>
      <c r="I31" s="78" t="s">
        <v>394</v>
      </c>
      <c r="J31" s="78" t="s">
        <v>394</v>
      </c>
      <c r="K31" s="78" t="s">
        <v>394</v>
      </c>
      <c r="L31" s="79" t="s">
        <v>394</v>
      </c>
      <c r="M31" s="336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7">
        <v>1</v>
      </c>
    </row>
    <row r="32" spans="2:30" ht="15">
      <c r="B32" s="118" t="s">
        <v>411</v>
      </c>
      <c r="C32" s="114"/>
      <c r="D32" s="109">
        <v>24</v>
      </c>
      <c r="E32" s="301">
        <f t="shared" si="0"/>
        <v>1</v>
      </c>
      <c r="F32" s="298" t="s">
        <v>394</v>
      </c>
      <c r="G32" s="78" t="s">
        <v>394</v>
      </c>
      <c r="H32" s="78" t="s">
        <v>394</v>
      </c>
      <c r="I32" s="78" t="s">
        <v>394</v>
      </c>
      <c r="J32" s="78" t="s">
        <v>394</v>
      </c>
      <c r="K32" s="78" t="s">
        <v>394</v>
      </c>
      <c r="L32" s="79" t="s">
        <v>394</v>
      </c>
      <c r="M32" s="336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7">
        <v>1</v>
      </c>
    </row>
    <row r="33" spans="2:30" ht="15.75" thickBot="1">
      <c r="B33" s="119" t="s">
        <v>412</v>
      </c>
      <c r="C33" s="120"/>
      <c r="D33" s="121">
        <v>25</v>
      </c>
      <c r="E33" s="302">
        <f t="shared" si="0"/>
        <v>0</v>
      </c>
      <c r="F33" s="299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394</v>
      </c>
      <c r="M33" s="337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8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A2" sqref="A2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9" t="s">
        <v>346</v>
      </c>
      <c r="B1" s="210">
        <v>42173</v>
      </c>
      <c r="D1" s="128" t="s">
        <v>454</v>
      </c>
      <c r="F1" s="211" t="s">
        <v>539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5" t="str">
        <f t="shared" si="3"/>
        <v>D15</v>
      </c>
      <c r="D5" s="221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5" t="str">
        <f t="shared" si="3"/>
        <v>1D4</v>
      </c>
      <c r="D7" s="221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5" t="str">
        <f t="shared" si="3"/>
        <v>D23</v>
      </c>
      <c r="D8" s="221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5" t="str">
        <f t="shared" si="3"/>
        <v>D24</v>
      </c>
      <c r="D9" s="221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5" t="str">
        <f t="shared" si="3"/>
        <v>D25</v>
      </c>
      <c r="D10" s="221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5" t="str">
        <f t="shared" si="3"/>
        <v>2D3</v>
      </c>
      <c r="D11" s="221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5" t="str">
        <f t="shared" si="3"/>
        <v>2D4</v>
      </c>
      <c r="D12" s="221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5" t="str">
        <f t="shared" si="3"/>
        <v>HK3</v>
      </c>
      <c r="D13" s="330" t="s">
        <v>646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5" t="str">
        <f t="shared" si="3"/>
        <v>MK1</v>
      </c>
      <c r="D14" s="221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5" t="str">
        <f t="shared" si="3"/>
        <v>MK2</v>
      </c>
      <c r="D15" s="221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5" t="str">
        <f t="shared" si="3"/>
        <v>MK3</v>
      </c>
      <c r="D16" s="221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5" t="str">
        <f t="shared" si="3"/>
        <v>MK4</v>
      </c>
      <c r="D17" s="221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5" t="str">
        <f t="shared" si="3"/>
        <v>MK5</v>
      </c>
      <c r="D18" s="221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5" t="str">
        <f t="shared" si="3"/>
        <v>KM3</v>
      </c>
      <c r="D19" s="221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5" t="str">
        <f t="shared" si="3"/>
        <v>KM4</v>
      </c>
      <c r="D20" s="221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5" t="str">
        <f t="shared" si="3"/>
        <v>HA1</v>
      </c>
      <c r="D21" s="221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5" t="str">
        <f t="shared" si="3"/>
        <v>HA2</v>
      </c>
      <c r="D22" s="221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5" t="str">
        <f t="shared" si="3"/>
        <v>HA3</v>
      </c>
      <c r="D23" s="221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5" t="str">
        <f t="shared" si="3"/>
        <v>HA4</v>
      </c>
      <c r="D24" s="221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5" t="str">
        <f t="shared" si="3"/>
        <v>HA5</v>
      </c>
      <c r="D25" s="221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5" t="str">
        <f t="shared" si="3"/>
        <v>AH3</v>
      </c>
      <c r="D26" s="221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5" t="str">
        <f t="shared" si="3"/>
        <v>AH4</v>
      </c>
      <c r="D27" s="221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5" t="str">
        <f t="shared" si="3"/>
        <v>KO1</v>
      </c>
      <c r="D28" s="221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5" t="str">
        <f t="shared" si="3"/>
        <v>KO2</v>
      </c>
      <c r="D29" s="221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5" t="str">
        <f t="shared" si="3"/>
        <v>KO3</v>
      </c>
      <c r="D30" s="221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5" t="str">
        <f t="shared" si="3"/>
        <v>KO4</v>
      </c>
      <c r="D31" s="221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5" t="str">
        <f t="shared" si="3"/>
        <v>KO5</v>
      </c>
      <c r="D32" s="221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5" t="str">
        <f t="shared" si="3"/>
        <v>OK3</v>
      </c>
      <c r="D33" s="221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5" t="str">
        <f t="shared" si="3"/>
        <v>OK4</v>
      </c>
      <c r="D34" s="221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5" t="str">
        <f t="shared" si="3"/>
        <v>BD1</v>
      </c>
      <c r="D35" s="221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5" t="str">
        <f t="shared" si="3"/>
        <v>BD2</v>
      </c>
      <c r="D36" s="221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5" t="str">
        <f t="shared" si="3"/>
        <v>BD3</v>
      </c>
      <c r="D37" s="221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5" t="str">
        <f t="shared" si="3"/>
        <v>BD4</v>
      </c>
      <c r="D38" s="221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5" t="str">
        <f t="shared" si="3"/>
        <v>BD5</v>
      </c>
      <c r="D39" s="221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5" t="str">
        <f t="shared" si="3"/>
        <v>DB3</v>
      </c>
      <c r="D40" s="221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5" t="str">
        <f t="shared" si="3"/>
        <v>DB4</v>
      </c>
      <c r="D41" s="221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5" t="str">
        <f t="shared" si="3"/>
        <v>GA1</v>
      </c>
      <c r="D42" s="221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5" t="str">
        <f t="shared" si="3"/>
        <v>GA2</v>
      </c>
      <c r="D43" s="221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5" t="str">
        <f t="shared" si="3"/>
        <v>GA3</v>
      </c>
      <c r="D44" s="221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5" t="str">
        <f t="shared" si="3"/>
        <v>GA4</v>
      </c>
      <c r="D45" s="221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5" t="str">
        <f t="shared" si="3"/>
        <v>GA5</v>
      </c>
      <c r="D46" s="221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5" t="str">
        <f t="shared" si="3"/>
        <v>AG3</v>
      </c>
      <c r="D47" s="221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5" t="str">
        <f t="shared" si="3"/>
        <v>AG4</v>
      </c>
      <c r="D48" s="221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5" t="str">
        <f t="shared" si="3"/>
        <v>BH1</v>
      </c>
      <c r="D49" s="221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5" t="str">
        <f t="shared" si="3"/>
        <v>BH2</v>
      </c>
      <c r="D50" s="221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5" t="str">
        <f t="shared" si="3"/>
        <v>BH3</v>
      </c>
      <c r="D51" s="221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5" t="str">
        <f t="shared" si="3"/>
        <v>BH4</v>
      </c>
      <c r="D52" s="221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5" t="str">
        <f t="shared" si="3"/>
        <v>BH5</v>
      </c>
      <c r="D53" s="221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5" t="str">
        <f t="shared" si="3"/>
        <v>HB3</v>
      </c>
      <c r="D54" s="221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5" t="str">
        <f t="shared" si="3"/>
        <v>HB4</v>
      </c>
      <c r="D55" s="221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5" t="str">
        <f t="shared" si="3"/>
        <v>WA1</v>
      </c>
      <c r="D56" s="221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5" t="str">
        <f t="shared" si="3"/>
        <v>WA2</v>
      </c>
      <c r="D57" s="221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5" t="str">
        <f t="shared" si="3"/>
        <v>WA3</v>
      </c>
      <c r="D58" s="221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5" t="str">
        <f t="shared" si="3"/>
        <v>WA4</v>
      </c>
      <c r="D59" s="221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5" t="str">
        <f t="shared" si="3"/>
        <v>WA5</v>
      </c>
      <c r="D60" s="221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5" t="str">
        <f t="shared" si="3"/>
        <v>AW3</v>
      </c>
      <c r="D61" s="221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5" t="str">
        <f t="shared" si="3"/>
        <v>AW4</v>
      </c>
      <c r="D62" s="221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5" t="str">
        <f t="shared" si="3"/>
        <v>GB1</v>
      </c>
      <c r="D63" s="221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5" t="str">
        <f t="shared" si="3"/>
        <v>GB2</v>
      </c>
      <c r="D64" s="221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5" t="str">
        <f t="shared" si="3"/>
        <v>GB3</v>
      </c>
      <c r="D65" s="221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5" t="str">
        <f t="shared" si="3"/>
        <v>GB4</v>
      </c>
      <c r="D66" s="221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5" t="str">
        <f t="shared" si="3"/>
        <v>GB5</v>
      </c>
      <c r="D67" s="221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5" t="str">
        <f t="shared" si="6"/>
        <v>BG4</v>
      </c>
      <c r="D69" s="221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5" t="str">
        <f t="shared" si="6"/>
        <v>BA1</v>
      </c>
      <c r="D70" s="221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5" t="str">
        <f t="shared" si="6"/>
        <v>BA2</v>
      </c>
      <c r="D71" s="221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5" t="str">
        <f t="shared" si="6"/>
        <v>BA3</v>
      </c>
      <c r="D72" s="221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5" t="str">
        <f t="shared" si="6"/>
        <v>BA4</v>
      </c>
      <c r="D73" s="221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5" t="str">
        <f t="shared" si="6"/>
        <v>BA5</v>
      </c>
      <c r="D74" s="221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5" t="str">
        <f t="shared" si="6"/>
        <v>AB3</v>
      </c>
      <c r="D75" s="221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5" t="str">
        <f t="shared" si="6"/>
        <v>AB4</v>
      </c>
      <c r="D76" s="221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5" t="str">
        <f t="shared" si="6"/>
        <v>PD1</v>
      </c>
      <c r="D77" s="221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5" t="str">
        <f t="shared" si="6"/>
        <v>PD2</v>
      </c>
      <c r="D78" s="221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5" t="str">
        <f t="shared" si="6"/>
        <v>PD3</v>
      </c>
      <c r="D79" s="221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5" t="str">
        <f t="shared" si="6"/>
        <v>PD4</v>
      </c>
      <c r="D80" s="221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5" t="str">
        <f t="shared" si="6"/>
        <v>PD5</v>
      </c>
      <c r="D81" s="221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5" t="str">
        <f t="shared" si="6"/>
        <v>DP3</v>
      </c>
      <c r="D82" s="221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5" t="str">
        <f t="shared" si="6"/>
        <v>DP4</v>
      </c>
      <c r="D83" s="221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5" t="str">
        <f t="shared" si="6"/>
        <v>MF1</v>
      </c>
      <c r="D84" s="221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5" t="str">
        <f t="shared" si="6"/>
        <v>MF2</v>
      </c>
      <c r="D85" s="221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5" t="str">
        <f t="shared" si="6"/>
        <v>MF3</v>
      </c>
      <c r="D86" s="221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5" t="str">
        <f t="shared" si="6"/>
        <v>MF4</v>
      </c>
      <c r="D87" s="221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5" t="str">
        <f t="shared" si="6"/>
        <v>MF5</v>
      </c>
      <c r="D88" s="221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5" t="str">
        <f t="shared" si="6"/>
        <v>FM3</v>
      </c>
      <c r="D89" s="221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5" t="str">
        <f t="shared" si="6"/>
        <v>FM4</v>
      </c>
      <c r="D90" s="221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5" t="str">
        <f t="shared" si="6"/>
        <v>HD3</v>
      </c>
      <c r="D91" s="221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5" t="str">
        <f t="shared" si="6"/>
        <v>HD4</v>
      </c>
      <c r="D92" s="221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9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5" t="s">
        <v>245</v>
      </c>
      <c r="B96" s="125" t="s">
        <v>55</v>
      </c>
      <c r="C96" s="125" t="s">
        <v>322</v>
      </c>
      <c r="D96" s="229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5" t="s">
        <v>245</v>
      </c>
      <c r="B97" s="125" t="s">
        <v>60</v>
      </c>
      <c r="C97" s="125" t="s">
        <v>327</v>
      </c>
      <c r="D97" s="229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5" t="s">
        <v>245</v>
      </c>
      <c r="B98" s="125" t="s">
        <v>65</v>
      </c>
      <c r="C98" s="125" t="s">
        <v>332</v>
      </c>
      <c r="D98" s="229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5" t="s">
        <v>245</v>
      </c>
      <c r="B99" s="125" t="s">
        <v>18</v>
      </c>
      <c r="C99" s="125" t="s">
        <v>285</v>
      </c>
      <c r="D99" s="229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9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9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9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9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9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9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9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9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9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9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9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9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9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9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9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9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9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9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9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9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9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9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9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9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9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9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9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9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9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9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9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9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9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9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9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9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9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9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9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9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9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9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9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9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9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9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9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9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9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9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9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9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9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9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9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9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9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9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9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5" customWidth="1"/>
    <col min="16" max="16" width="16.5703125" style="231" customWidth="1"/>
    <col min="17" max="16384" width="11.42578125" style="231"/>
  </cols>
  <sheetData>
    <row r="1" spans="1:16" s="230" customFormat="1">
      <c r="A1" s="128" t="s">
        <v>455</v>
      </c>
      <c r="B1" s="125"/>
      <c r="D1" s="211" t="s">
        <v>539</v>
      </c>
    </row>
    <row r="2" spans="1:16">
      <c r="A2" s="231"/>
      <c r="B2" s="230" t="s">
        <v>456</v>
      </c>
    </row>
    <row r="3" spans="1:16" ht="20.100000000000001" customHeight="1">
      <c r="A3" s="384" t="s">
        <v>248</v>
      </c>
      <c r="B3" s="232" t="s">
        <v>86</v>
      </c>
      <c r="C3" s="233"/>
      <c r="D3" s="386" t="s">
        <v>457</v>
      </c>
      <c r="E3" s="387"/>
      <c r="F3" s="387"/>
      <c r="G3" s="387"/>
      <c r="H3" s="387"/>
      <c r="I3" s="387"/>
      <c r="J3" s="388"/>
      <c r="K3" s="234"/>
      <c r="L3" s="234"/>
      <c r="M3" s="234"/>
      <c r="N3" s="234"/>
      <c r="O3" s="235"/>
      <c r="P3" s="234"/>
    </row>
    <row r="4" spans="1:16" ht="20.100000000000001" customHeight="1">
      <c r="A4" s="385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367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367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3"/>
  <sheetViews>
    <sheetView tabSelected="1" zoomScale="90" zoomScaleNormal="90" workbookViewId="0">
      <pane ySplit="2" topLeftCell="A52" activePane="bottomLeft" state="frozen"/>
      <selection pane="bottomLeft" activeCell="D52" sqref="D52"/>
    </sheetView>
  </sheetViews>
  <sheetFormatPr baseColWidth="10" defaultColWidth="11.42578125" defaultRowHeight="15"/>
  <cols>
    <col min="1" max="1" width="11.42578125" style="338" customWidth="1"/>
    <col min="2" max="3" width="14.140625" style="338" bestFit="1" customWidth="1"/>
    <col min="4" max="4" width="88.140625" style="338" bestFit="1" customWidth="1"/>
    <col min="5" max="5" width="11.42578125" style="338" customWidth="1"/>
    <col min="6" max="16384" width="11.42578125" style="338"/>
  </cols>
  <sheetData>
    <row r="2" spans="2:4" ht="15.75">
      <c r="B2" s="343" t="s">
        <v>671</v>
      </c>
      <c r="C2" s="344" t="s">
        <v>672</v>
      </c>
      <c r="D2" s="345" t="s">
        <v>681</v>
      </c>
    </row>
    <row r="3" spans="2:4">
      <c r="B3" s="339">
        <v>42644</v>
      </c>
      <c r="C3" s="340">
        <v>42674</v>
      </c>
      <c r="D3" s="346">
        <v>10.189193548387101</v>
      </c>
    </row>
    <row r="4" spans="2:4">
      <c r="B4" s="339">
        <v>42675</v>
      </c>
      <c r="C4" s="340">
        <v>42704</v>
      </c>
      <c r="D4" s="346">
        <v>6.2384999999999993</v>
      </c>
    </row>
    <row r="5" spans="2:4">
      <c r="B5" s="339">
        <v>42705</v>
      </c>
      <c r="C5" s="340">
        <v>42735</v>
      </c>
      <c r="D5" s="346">
        <v>2.9084946236559159</v>
      </c>
    </row>
    <row r="6" spans="2:4">
      <c r="B6" s="339">
        <v>42736</v>
      </c>
      <c r="C6" s="340">
        <v>42766</v>
      </c>
      <c r="D6" s="346">
        <v>1.5066359447004609</v>
      </c>
    </row>
    <row r="7" spans="2:4">
      <c r="B7" s="339">
        <v>42767</v>
      </c>
      <c r="C7" s="340">
        <v>42794</v>
      </c>
      <c r="D7" s="346">
        <v>1.17746192893401</v>
      </c>
    </row>
    <row r="8" spans="2:4">
      <c r="B8" s="339">
        <v>42795</v>
      </c>
      <c r="C8" s="340">
        <v>42825</v>
      </c>
      <c r="D8" s="346">
        <v>5.6243317972350271</v>
      </c>
    </row>
    <row r="9" spans="2:4">
      <c r="B9" s="339">
        <v>42826</v>
      </c>
      <c r="C9" s="340">
        <v>42855</v>
      </c>
      <c r="D9" s="346">
        <v>10.133857142857147</v>
      </c>
    </row>
    <row r="10" spans="2:4">
      <c r="B10" s="339">
        <v>42856</v>
      </c>
      <c r="C10" s="340">
        <v>42886</v>
      </c>
      <c r="D10" s="346">
        <v>13.516175115207373</v>
      </c>
    </row>
    <row r="11" spans="2:4">
      <c r="B11" s="339">
        <v>42887</v>
      </c>
      <c r="C11" s="340">
        <v>42916</v>
      </c>
      <c r="D11" s="346">
        <v>17.118714285714269</v>
      </c>
    </row>
    <row r="12" spans="2:4">
      <c r="B12" s="339">
        <v>42917</v>
      </c>
      <c r="C12" s="340">
        <v>42947</v>
      </c>
      <c r="D12" s="346">
        <v>19.041013824884789</v>
      </c>
    </row>
    <row r="13" spans="2:4">
      <c r="B13" s="339">
        <v>42948</v>
      </c>
      <c r="C13" s="340">
        <v>42978</v>
      </c>
      <c r="D13" s="346">
        <v>18.529308755760368</v>
      </c>
    </row>
    <row r="14" spans="2:4">
      <c r="B14" s="339">
        <v>42979</v>
      </c>
      <c r="C14" s="340">
        <v>43008</v>
      </c>
      <c r="D14" s="346">
        <v>14.465523809523811</v>
      </c>
    </row>
    <row r="15" spans="2:4">
      <c r="B15" s="341">
        <v>43009</v>
      </c>
      <c r="C15" s="342">
        <v>43039</v>
      </c>
      <c r="D15" s="347">
        <v>10.04188940092166</v>
      </c>
    </row>
    <row r="16" spans="2:4">
      <c r="B16" s="339">
        <v>43040</v>
      </c>
      <c r="C16" s="365">
        <v>43069</v>
      </c>
      <c r="D16" s="364">
        <v>6.4761904761904727</v>
      </c>
    </row>
    <row r="17" spans="2:4">
      <c r="B17" s="339">
        <v>43070</v>
      </c>
      <c r="C17" s="365">
        <v>43100</v>
      </c>
      <c r="D17" s="346">
        <v>3.4560829493087581</v>
      </c>
    </row>
    <row r="18" spans="2:4">
      <c r="B18" s="339">
        <v>43101</v>
      </c>
      <c r="C18" s="365">
        <v>43131</v>
      </c>
      <c r="D18" s="346">
        <v>1.7252822580645157</v>
      </c>
    </row>
    <row r="19" spans="2:4">
      <c r="B19" s="339">
        <v>43132</v>
      </c>
      <c r="C19" s="365">
        <v>43159</v>
      </c>
      <c r="D19" s="346">
        <v>1.6641592920353985</v>
      </c>
    </row>
    <row r="20" spans="2:4">
      <c r="B20" s="339">
        <v>43160</v>
      </c>
      <c r="C20" s="365">
        <v>43190</v>
      </c>
      <c r="D20" s="346">
        <v>5.5294354838709721</v>
      </c>
    </row>
    <row r="21" spans="2:4">
      <c r="B21" s="339">
        <v>43191</v>
      </c>
      <c r="C21" s="365">
        <v>43220</v>
      </c>
      <c r="D21" s="346">
        <v>9.9531666666666698</v>
      </c>
    </row>
    <row r="22" spans="2:4">
      <c r="B22" s="339">
        <v>43221</v>
      </c>
      <c r="C22" s="365">
        <v>43251</v>
      </c>
      <c r="D22" s="346">
        <v>13.44959677419355</v>
      </c>
    </row>
    <row r="23" spans="2:4">
      <c r="B23" s="339">
        <v>43252</v>
      </c>
      <c r="C23" s="365">
        <v>43281</v>
      </c>
      <c r="D23" s="346">
        <v>17.131624999999985</v>
      </c>
    </row>
    <row r="24" spans="2:4">
      <c r="B24" s="339">
        <v>43282</v>
      </c>
      <c r="C24" s="365">
        <v>43312</v>
      </c>
      <c r="D24" s="346">
        <v>19.115524193548382</v>
      </c>
    </row>
    <row r="25" spans="2:4">
      <c r="B25" s="339">
        <v>43313</v>
      </c>
      <c r="C25" s="365">
        <v>43343</v>
      </c>
      <c r="D25" s="346">
        <v>18.607258064516124</v>
      </c>
    </row>
    <row r="26" spans="2:4">
      <c r="B26" s="339">
        <v>43344</v>
      </c>
      <c r="C26" s="365">
        <v>43373</v>
      </c>
      <c r="D26" s="346">
        <v>14.74283333333333</v>
      </c>
    </row>
    <row r="27" spans="2:4">
      <c r="B27" s="341">
        <v>43374</v>
      </c>
      <c r="C27" s="366">
        <v>43404</v>
      </c>
      <c r="D27" s="347">
        <v>9.9213306451612908</v>
      </c>
    </row>
    <row r="28" spans="2:4" ht="15.75">
      <c r="B28" s="369">
        <v>43405</v>
      </c>
      <c r="C28" s="370">
        <v>43434</v>
      </c>
      <c r="D28" s="371">
        <v>6.3140833333333282</v>
      </c>
    </row>
    <row r="29" spans="2:4" ht="15.75">
      <c r="B29" s="339">
        <v>43435</v>
      </c>
      <c r="C29" s="340">
        <v>43465</v>
      </c>
      <c r="D29" s="372">
        <v>3.0019354838709695</v>
      </c>
    </row>
    <row r="30" spans="2:4" ht="15.75">
      <c r="B30" s="339">
        <v>43466</v>
      </c>
      <c r="C30" s="340">
        <v>43496</v>
      </c>
      <c r="D30" s="372">
        <v>1.1054480286738342</v>
      </c>
    </row>
    <row r="31" spans="2:4" ht="15.75">
      <c r="B31" s="339">
        <v>43497</v>
      </c>
      <c r="C31" s="340">
        <v>43524</v>
      </c>
      <c r="D31" s="372">
        <v>2.0055905511811032</v>
      </c>
    </row>
    <row r="32" spans="2:4" ht="15.75">
      <c r="B32" s="339">
        <v>43525</v>
      </c>
      <c r="C32" s="340">
        <v>43555</v>
      </c>
      <c r="D32" s="372">
        <v>5.8350537634408628</v>
      </c>
    </row>
    <row r="33" spans="2:4" ht="15.75">
      <c r="B33" s="339">
        <v>43556</v>
      </c>
      <c r="C33" s="340">
        <v>43585</v>
      </c>
      <c r="D33" s="372">
        <v>9.7753333333333394</v>
      </c>
    </row>
    <row r="34" spans="2:4" ht="15.75">
      <c r="B34" s="339">
        <v>43586</v>
      </c>
      <c r="C34" s="340">
        <v>43616</v>
      </c>
      <c r="D34" s="372">
        <v>13.60845878136201</v>
      </c>
    </row>
    <row r="35" spans="2:4" ht="15.75">
      <c r="B35" s="339">
        <v>43617</v>
      </c>
      <c r="C35" s="340">
        <v>43646</v>
      </c>
      <c r="D35" s="372">
        <v>17.397333333333322</v>
      </c>
    </row>
    <row r="36" spans="2:4" ht="15.75">
      <c r="B36" s="339">
        <v>43647</v>
      </c>
      <c r="C36" s="340">
        <v>43677</v>
      </c>
      <c r="D36" s="372">
        <v>19.17964157706092</v>
      </c>
    </row>
    <row r="37" spans="2:4" ht="15.75">
      <c r="B37" s="339">
        <v>43678</v>
      </c>
      <c r="C37" s="340">
        <v>43708</v>
      </c>
      <c r="D37" s="372">
        <v>18.677311827956977</v>
      </c>
    </row>
    <row r="38" spans="2:4" ht="15.75">
      <c r="B38" s="339">
        <v>43709</v>
      </c>
      <c r="C38" s="340">
        <v>43738</v>
      </c>
      <c r="D38" s="372">
        <v>14.563962962962959</v>
      </c>
    </row>
    <row r="39" spans="2:4" ht="15.75">
      <c r="B39" s="341">
        <v>43739</v>
      </c>
      <c r="C39" s="342">
        <v>43769</v>
      </c>
      <c r="D39" s="373">
        <v>10.037132616487453</v>
      </c>
    </row>
    <row r="40" spans="2:4" ht="15.75">
      <c r="B40" s="339">
        <v>43770</v>
      </c>
      <c r="C40" s="365">
        <v>43799</v>
      </c>
      <c r="D40" s="371">
        <v>6.2053333333333311</v>
      </c>
    </row>
    <row r="41" spans="2:4" ht="15.75">
      <c r="B41" s="339">
        <v>43800</v>
      </c>
      <c r="C41" s="365">
        <v>43830</v>
      </c>
      <c r="D41" s="372">
        <v>3.0030107526881729</v>
      </c>
    </row>
    <row r="42" spans="2:4" ht="15.75">
      <c r="B42" s="339">
        <v>43831</v>
      </c>
      <c r="C42" s="365">
        <v>43861</v>
      </c>
      <c r="D42" s="372">
        <v>1.5480967741935476</v>
      </c>
    </row>
    <row r="43" spans="2:4" ht="15.75">
      <c r="B43" s="339">
        <v>43862</v>
      </c>
      <c r="C43" s="365">
        <v>43889</v>
      </c>
      <c r="D43" s="372">
        <v>1.7784751773049656</v>
      </c>
    </row>
    <row r="44" spans="2:4" ht="15.75">
      <c r="B44" s="339">
        <v>43891</v>
      </c>
      <c r="C44" s="365">
        <v>43921</v>
      </c>
      <c r="D44" s="372">
        <v>5.7157741935483894</v>
      </c>
    </row>
    <row r="45" spans="2:4" ht="15.75">
      <c r="B45" s="339">
        <v>43922</v>
      </c>
      <c r="C45" s="365">
        <v>43951</v>
      </c>
      <c r="D45" s="372">
        <v>10.065400000000002</v>
      </c>
    </row>
    <row r="46" spans="2:4" ht="15.75">
      <c r="B46" s="339">
        <v>43952</v>
      </c>
      <c r="C46" s="365">
        <v>43982</v>
      </c>
      <c r="D46" s="372">
        <v>13.793903225806448</v>
      </c>
    </row>
    <row r="47" spans="2:4" ht="15.75">
      <c r="B47" s="339">
        <v>43983</v>
      </c>
      <c r="C47" s="365">
        <v>44012</v>
      </c>
      <c r="D47" s="372">
        <v>17.52143333333332</v>
      </c>
    </row>
    <row r="48" spans="2:4" ht="15.75">
      <c r="B48" s="339">
        <v>44013</v>
      </c>
      <c r="C48" s="365">
        <v>44043</v>
      </c>
      <c r="D48" s="372">
        <v>19.382193548387082</v>
      </c>
    </row>
    <row r="49" spans="2:4" ht="15.75">
      <c r="B49" s="339">
        <v>44044</v>
      </c>
      <c r="C49" s="365">
        <v>44074</v>
      </c>
      <c r="D49" s="372">
        <v>18.910645161290319</v>
      </c>
    </row>
    <row r="50" spans="2:4" ht="15.75">
      <c r="B50" s="339">
        <v>44075</v>
      </c>
      <c r="C50" s="365">
        <v>44104</v>
      </c>
      <c r="D50" s="372">
        <v>14.729699999999994</v>
      </c>
    </row>
    <row r="51" spans="2:4" ht="15.75">
      <c r="B51" s="341">
        <v>44105</v>
      </c>
      <c r="C51" s="366">
        <v>44135</v>
      </c>
      <c r="D51" s="373">
        <v>10.048806451612899</v>
      </c>
    </row>
    <row r="52" spans="2:4" ht="15.75">
      <c r="B52" s="362">
        <v>44501</v>
      </c>
      <c r="C52" s="367">
        <v>44530</v>
      </c>
      <c r="D52" s="359">
        <v>6.0962666666666658</v>
      </c>
    </row>
    <row r="53" spans="2:4" ht="15.75">
      <c r="B53" s="362">
        <v>44531</v>
      </c>
      <c r="C53" s="367">
        <v>44561</v>
      </c>
      <c r="D53" s="360">
        <v>3.1525806451612928</v>
      </c>
    </row>
    <row r="54" spans="2:4" ht="15.75">
      <c r="B54" s="362">
        <v>44197</v>
      </c>
      <c r="C54" s="367">
        <v>44227</v>
      </c>
      <c r="D54" s="360">
        <v>1.4957478005865092</v>
      </c>
    </row>
    <row r="55" spans="2:4" ht="15.75">
      <c r="B55" s="362">
        <v>44228</v>
      </c>
      <c r="C55" s="367">
        <v>44255</v>
      </c>
      <c r="D55" s="360">
        <v>2.0004838709677424</v>
      </c>
    </row>
    <row r="56" spans="2:4" ht="15.75">
      <c r="B56" s="362">
        <v>44256</v>
      </c>
      <c r="C56" s="367">
        <v>44286</v>
      </c>
      <c r="D56" s="360">
        <v>5.8794428152492699</v>
      </c>
    </row>
    <row r="57" spans="2:4" ht="15.75">
      <c r="B57" s="362">
        <v>44287</v>
      </c>
      <c r="C57" s="367">
        <v>44316</v>
      </c>
      <c r="D57" s="360">
        <v>9.9372424242424255</v>
      </c>
    </row>
    <row r="58" spans="2:4" ht="15.75">
      <c r="B58" s="362">
        <v>44317</v>
      </c>
      <c r="C58" s="367">
        <v>44347</v>
      </c>
      <c r="D58" s="360">
        <v>13.566099706744868</v>
      </c>
    </row>
    <row r="59" spans="2:4" ht="15.75">
      <c r="B59" s="362">
        <v>44348</v>
      </c>
      <c r="C59" s="367">
        <v>44377</v>
      </c>
      <c r="D59" s="360">
        <v>17.691787878787867</v>
      </c>
    </row>
    <row r="60" spans="2:4" ht="15.75">
      <c r="B60" s="362">
        <v>44378</v>
      </c>
      <c r="C60" s="367">
        <v>44408</v>
      </c>
      <c r="D60" s="360">
        <v>19.464457478005855</v>
      </c>
    </row>
    <row r="61" spans="2:4" ht="15.75">
      <c r="B61" s="362">
        <v>44409</v>
      </c>
      <c r="C61" s="367">
        <v>44439</v>
      </c>
      <c r="D61" s="360">
        <v>18.917507331378292</v>
      </c>
    </row>
    <row r="62" spans="2:4" ht="15.75">
      <c r="B62" s="362">
        <v>44440</v>
      </c>
      <c r="C62" s="367">
        <v>44469</v>
      </c>
      <c r="D62" s="360">
        <v>14.746393939393933</v>
      </c>
    </row>
    <row r="63" spans="2:4" ht="15.75">
      <c r="B63" s="363">
        <v>44470</v>
      </c>
      <c r="C63" s="368">
        <v>44500</v>
      </c>
      <c r="D63" s="361">
        <v>10.238211143695011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SLP-Temp-Gebiet#01</vt:lpstr>
      <vt:lpstr>SLP-Profile</vt:lpstr>
      <vt:lpstr>SLP-Feiertage</vt:lpstr>
      <vt:lpstr>BDEW-Standard</vt:lpstr>
      <vt:lpstr>Wochentag F(WT)</vt:lpstr>
      <vt:lpstr>HIST_MONATSDURCHSCHNITT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Werneth Jessica</cp:lastModifiedBy>
  <cp:lastPrinted>2015-03-20T22:59:10Z</cp:lastPrinted>
  <dcterms:created xsi:type="dcterms:W3CDTF">2015-01-15T05:25:41Z</dcterms:created>
  <dcterms:modified xsi:type="dcterms:W3CDTF">2020-11-16T13:06:24Z</dcterms:modified>
</cp:coreProperties>
</file>